
<file path=[Content_Types].xml><?xml version="1.0" encoding="utf-8"?>
<Types xmlns="http://schemas.openxmlformats.org/package/2006/content-types"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charts/chart2.xml" ContentType="application/vnd.openxmlformats-officedocument.drawingml.char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ml.chartshapes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  <Default Extension="bin" ContentType="application/vnd.openxmlformats-officedocument.spreadsheetml.printerSettings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/>
  <bookViews>
    <workbookView xWindow="2955" yWindow="435" windowWidth="10275" windowHeight="8175" tabRatio="949"/>
  </bookViews>
  <sheets>
    <sheet name="Main" sheetId="57" r:id="rId1"/>
    <sheet name="On-Time Delivery Chart" sheetId="1" r:id="rId2"/>
    <sheet name="On-Time Delivery Data" sheetId="31" state="veryHidden" r:id="rId3"/>
    <sheet name="Arm" sheetId="39" r:id="rId4"/>
    <sheet name="Units Shipped per Month" sheetId="20" state="veryHidden" r:id="rId5"/>
    <sheet name="Cum-Yield" sheetId="42" state="veryHidden" r:id="rId6"/>
    <sheet name="First-Pass-Yield" sheetId="43" state="veryHidden" r:id="rId7"/>
    <sheet name="Safety Days Data" sheetId="14" state="veryHidden" r:id="rId8"/>
    <sheet name="Sale and Yield projection (2)" sheetId="59" state="very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\200">#REF!</definedName>
    <definedName name="\A">#REF!</definedName>
    <definedName name="\B">#REF!</definedName>
    <definedName name="\C">#REF!</definedName>
    <definedName name="\p">#REF!</definedName>
    <definedName name="_xlnm._FilterDatabase" localSheetId="5" hidden="1">'Cum-Yield'!$A$72:$U$72</definedName>
    <definedName name="A">#REF!</definedName>
    <definedName name="AA">'[11]BS ATTACH'!#REF!</definedName>
    <definedName name="AAA">#REF!</definedName>
    <definedName name="AAAA">#REF!</definedName>
    <definedName name="ab">'[12]BALANCE SHEET '!$C$12</definedName>
    <definedName name="AGING">[10]CUSTOMER!$A$1:$B$30</definedName>
    <definedName name="AS400CodeAP">#REF!</definedName>
    <definedName name="ASSETS">'[2]#REF'!#REF!</definedName>
    <definedName name="avail">#REF!</definedName>
    <definedName name="calcs2000">[1]calcs!#REF!</definedName>
    <definedName name="CENTERCO">'[16]Cost center'!$A$73:$A$92</definedName>
    <definedName name="COMMISION">#REF!</definedName>
    <definedName name="COMMISSION">#REF!</definedName>
    <definedName name="CUSTOMER">[6]CUSTOMER!$A$1:$B$30</definedName>
    <definedName name="CUSTOMERS">[10]CUSTOMER!$A$1:$B$30</definedName>
    <definedName name="CUTTOMER">[6]CUSTOMER!$A$1:$B$30</definedName>
    <definedName name="_DAT5">'[15]TB SAP'!#REF!</definedName>
    <definedName name="_DAT6">'[15]TB SAP'!#REF!</definedName>
    <definedName name="DATA">'[2]#REF'!#REF!</definedName>
    <definedName name="_xlnm.Database">#REF!</definedName>
    <definedName name="ddd">'[12]BALANCE SHEET '!$C$15</definedName>
    <definedName name="FLOW">'[2]#REF'!#REF!</definedName>
    <definedName name="INFO">#REF!</definedName>
    <definedName name="INST">#REF!</definedName>
    <definedName name="INV_C">'[4]BALANCE SHEET '!$D$11</definedName>
    <definedName name="INV_P">'[4]BALANCE SHEET '!$C$11</definedName>
    <definedName name="INVC">'[5]BALANCE SHEET '!$D$11</definedName>
    <definedName name="INVP">'[5]BALANCE SHEET '!$C$11</definedName>
    <definedName name="IRR">'[2]#REF'!#REF!</definedName>
    <definedName name="LIAB">'[2]#REF'!#REF!</definedName>
    <definedName name="LIABILITIES">'[2]#REF'!#REF!</definedName>
    <definedName name="LIBC">'[4]BALANCE SHEET '!$D$23:$D$24</definedName>
    <definedName name="LIBCC">'[5]BALANCE SHEET '!$D$23:$D$24</definedName>
    <definedName name="LIBP">'[4]BALANCE SHEET '!$C$23:$C$24</definedName>
    <definedName name="LIBPP">'[5]BALANCE SHEET '!$C$23:$C$24</definedName>
    <definedName name="month">[15]Master!$H$2:$H$13</definedName>
    <definedName name="Month2000">#REF!</definedName>
    <definedName name="monthbs">#REF!</definedName>
    <definedName name="monthcf">#REF!</definedName>
    <definedName name="_OAC1">'[4]BALANCE SHEET '!$D$12</definedName>
    <definedName name="_OAC11">'[5]BALANCE SHEET '!$D$12</definedName>
    <definedName name="_OAC2">'[4]BALANCE SHEET '!$D$18</definedName>
    <definedName name="_OAC22">'[5]BALANCE SHEET '!$D$18</definedName>
    <definedName name="order">#REF!</definedName>
    <definedName name="OTHER_ASSET">'[4]BALANCE SHEET '!$C$18</definedName>
    <definedName name="OTHER_CURRENT_ASSETS">'[4]BALANCE SHEET '!$C$12</definedName>
    <definedName name="OTHERASSET">'[5]BALANCE SHEET '!$C$18</definedName>
    <definedName name="OTHERCURRENTASSETS">'[5]BALANCE SHEET '!$C$12</definedName>
    <definedName name="P_L">'[2]#REF'!#REF!</definedName>
    <definedName name="Print_Area_MI">'[2]#REF'!$A$1:$T$495</definedName>
    <definedName name="Print_Titles_MI">#REF!</definedName>
    <definedName name="qtrbs">#REF!</definedName>
    <definedName name="qtrcf">#REF!</definedName>
    <definedName name="Qtris">#REF!</definedName>
    <definedName name="RATIOS">'[2]#REF'!#REF!</definedName>
    <definedName name="RETURN">'[2]#REF'!$A$356:$O$495</definedName>
    <definedName name="ROWNAMES">#REF!</definedName>
    <definedName name="SAPCodeAP">#REF!</definedName>
    <definedName name="Tatal">'[13]BS ATTACH'!#REF!</definedName>
    <definedName name="TFAC">'[4]BALANCE SHEET '!$D$15</definedName>
    <definedName name="TFACC">'[5]BALANCE SHEET '!$D$15</definedName>
    <definedName name="Total">#REF!</definedName>
    <definedName name="TOTAL_FIXED_ASSETS">'[4]BALANCE SHEET '!$C$15</definedName>
    <definedName name="TOTALAE">'[7]BS ATTACH'!#REF!</definedName>
    <definedName name="TOTALAP">'[7]BS ATTACH'!#REF!</definedName>
    <definedName name="totalap1">'[9]BS ATTACH'!#REF!</definedName>
    <definedName name="totalap2">'[9]BS ATTACH'!#REF!</definedName>
    <definedName name="totalapp">'[8]BS ATTACH'!#REF!</definedName>
    <definedName name="TOTALFIXEDASSETS">'[5]BALANCE SHEET '!$C$15</definedName>
    <definedName name="TOTALOA">'[7]BS ATTACH'!#REF!</definedName>
    <definedName name="TOTALOL">'[7]BS ATTACH'!#REF!</definedName>
    <definedName name="ttl">#REF!</definedName>
    <definedName name="wrn.bkb." localSheetId="8" hidden="1">{"bkb(report)",#N/A,FALSE,"Cash Av"}</definedName>
    <definedName name="wrn.bkb." hidden="1">{"bkb(report)",#N/A,FALSE,"Cash Av"}</definedName>
    <definedName name="wrn.termsheet." localSheetId="8" hidden="1">{"termsheet(report)",#N/A,FALSE,"Cash Av"}</definedName>
    <definedName name="wrn.termsheet." hidden="1">{"termsheet(report)",#N/A,FALSE,"Cash Av"}</definedName>
    <definedName name="ข้อมูล">#REF!</definedName>
    <definedName name="เดือน">[17]ข้อมูลฐาน!$B$2:$B$13</definedName>
    <definedName name="วัน">#REF!</definedName>
  </definedNames>
  <calcPr calcId="124519"/>
</workbook>
</file>

<file path=xl/calcChain.xml><?xml version="1.0" encoding="utf-8"?>
<calcChain xmlns="http://schemas.openxmlformats.org/spreadsheetml/2006/main">
  <c r="E14" i="42"/>
  <c r="B5" i="14"/>
  <c r="E7" i="57"/>
  <c r="C1" i="20"/>
  <c r="D1"/>
  <c r="E1"/>
  <c r="F1"/>
  <c r="G1"/>
  <c r="H1"/>
  <c r="I1"/>
  <c r="J1"/>
  <c r="K1"/>
  <c r="L1"/>
  <c r="M1"/>
  <c r="N1"/>
  <c r="C2"/>
  <c r="D2"/>
  <c r="E2"/>
  <c r="F2"/>
  <c r="G2"/>
  <c r="H2"/>
  <c r="I2"/>
  <c r="J2"/>
  <c r="K2"/>
  <c r="L2"/>
  <c r="M2"/>
  <c r="N2"/>
  <c r="B2"/>
  <c r="B1"/>
  <c r="B39" i="43"/>
  <c r="B14" i="42"/>
  <c r="B17"/>
  <c r="O15"/>
  <c r="O8"/>
  <c r="C4" i="43"/>
  <c r="B57" i="42"/>
  <c r="D4" i="43"/>
  <c r="B58" i="42"/>
  <c r="E4" i="43"/>
  <c r="B59" i="42"/>
  <c r="F4" i="43"/>
  <c r="B60" i="42"/>
  <c r="G4" i="43"/>
  <c r="B61" i="42"/>
  <c r="H4" i="43"/>
  <c r="B62" i="42"/>
  <c r="I4" i="43"/>
  <c r="B63" i="42"/>
  <c r="J4" i="43"/>
  <c r="B64" i="42"/>
  <c r="K4" i="43"/>
  <c r="B65" i="42"/>
  <c r="L4" i="43"/>
  <c r="B66" i="42"/>
  <c r="M4" i="43"/>
  <c r="B67" i="42"/>
  <c r="N4" i="43"/>
  <c r="B68" i="42"/>
  <c r="B4" i="43"/>
  <c r="B12"/>
  <c r="B56" i="42"/>
  <c r="C3" i="43"/>
  <c r="A57" i="42"/>
  <c r="D3" i="43"/>
  <c r="A58" i="42"/>
  <c r="E3" i="43"/>
  <c r="A59" i="42"/>
  <c r="F3" i="43"/>
  <c r="A60" i="42"/>
  <c r="G3" i="43"/>
  <c r="A61" i="42"/>
  <c r="H3" i="43"/>
  <c r="A62" i="42"/>
  <c r="I3" i="43"/>
  <c r="A63" i="42"/>
  <c r="J3" i="43"/>
  <c r="A64" i="42"/>
  <c r="K3" i="43"/>
  <c r="A65" i="42"/>
  <c r="L3" i="43"/>
  <c r="A66" i="42"/>
  <c r="M3" i="43"/>
  <c r="A67" i="42"/>
  <c r="N3" i="43"/>
  <c r="A68" i="42"/>
  <c r="B3" i="43"/>
  <c r="B11"/>
  <c r="A56" i="42"/>
  <c r="B6" i="43"/>
  <c r="B45" i="42"/>
  <c r="C6" i="43"/>
  <c r="B46" i="42"/>
  <c r="D6" i="43"/>
  <c r="E6"/>
  <c r="F6"/>
  <c r="G6"/>
  <c r="H6"/>
  <c r="I6"/>
  <c r="J6"/>
  <c r="K6"/>
  <c r="L6"/>
  <c r="M6"/>
  <c r="N6"/>
  <c r="N45" i="42"/>
  <c r="I61" i="31"/>
  <c r="N51"/>
  <c r="N50"/>
  <c r="N21" i="20"/>
  <c r="O50" i="31"/>
  <c r="M66"/>
  <c r="M61"/>
  <c r="O55"/>
  <c r="L51"/>
  <c r="L50"/>
  <c r="K29"/>
  <c r="K28"/>
  <c r="K61"/>
  <c r="K62"/>
  <c r="J61"/>
  <c r="J62"/>
  <c r="J29"/>
  <c r="J28"/>
  <c r="J51"/>
  <c r="J50"/>
  <c r="I51"/>
  <c r="O51"/>
  <c r="I50"/>
  <c r="I40"/>
  <c r="I39"/>
  <c r="I66"/>
  <c r="I18"/>
  <c r="G51"/>
  <c r="G50"/>
  <c r="G40"/>
  <c r="G39"/>
  <c r="F40"/>
  <c r="F39"/>
  <c r="E61"/>
  <c r="B17"/>
  <c r="B18"/>
  <c r="O7" i="43"/>
  <c r="O7" i="42"/>
  <c r="M27"/>
  <c r="O6" i="31"/>
  <c r="K66"/>
  <c r="J52"/>
  <c r="I21" i="20"/>
  <c r="I17"/>
  <c r="H57" i="31"/>
  <c r="H21" i="20"/>
  <c r="H52" i="31"/>
  <c r="H62"/>
  <c r="O33"/>
  <c r="O34"/>
  <c r="H30"/>
  <c r="H24"/>
  <c r="H19"/>
  <c r="H13"/>
  <c r="H8"/>
  <c r="H13" i="20"/>
  <c r="I13"/>
  <c r="H5"/>
  <c r="H9"/>
  <c r="G9"/>
  <c r="O23" i="31"/>
  <c r="O22"/>
  <c r="O56"/>
  <c r="O44"/>
  <c r="G21" i="20"/>
  <c r="G13"/>
  <c r="G5"/>
  <c r="G17"/>
  <c r="O28" i="31"/>
  <c r="K27" i="59"/>
  <c r="M27"/>
  <c r="M57"/>
  <c r="G187"/>
  <c r="D187"/>
  <c r="G176"/>
  <c r="D176"/>
  <c r="M165"/>
  <c r="M164"/>
  <c r="H163"/>
  <c r="M162"/>
  <c r="D14" i="42"/>
  <c r="D67" i="31"/>
  <c r="D17" i="20"/>
  <c r="D9"/>
  <c r="D5"/>
  <c r="D13"/>
  <c r="D21"/>
  <c r="C62" i="31"/>
  <c r="C61"/>
  <c r="C2"/>
  <c r="C57"/>
  <c r="C52"/>
  <c r="C46"/>
  <c r="C35"/>
  <c r="C30"/>
  <c r="C24"/>
  <c r="C19"/>
  <c r="C13"/>
  <c r="C8"/>
  <c r="C3"/>
  <c r="C5" i="20"/>
  <c r="C9"/>
  <c r="C13"/>
  <c r="C17"/>
  <c r="C21"/>
  <c r="B9"/>
  <c r="K9"/>
  <c r="J9"/>
  <c r="B52" i="31"/>
  <c r="B13" i="20"/>
  <c r="J13"/>
  <c r="B17"/>
  <c r="E9"/>
  <c r="F9"/>
  <c r="E13"/>
  <c r="F13"/>
  <c r="E5"/>
  <c r="E17"/>
  <c r="E21"/>
  <c r="C17" i="42"/>
  <c r="D17"/>
  <c r="E17"/>
  <c r="F17"/>
  <c r="G17"/>
  <c r="H17"/>
  <c r="I17"/>
  <c r="J17"/>
  <c r="K17"/>
  <c r="L17"/>
  <c r="M17"/>
  <c r="N17"/>
  <c r="K21" i="20"/>
  <c r="L67" i="31"/>
  <c r="L66"/>
  <c r="L62"/>
  <c r="L61"/>
  <c r="B60"/>
  <c r="C60"/>
  <c r="D60"/>
  <c r="E60"/>
  <c r="F60"/>
  <c r="G60"/>
  <c r="H60"/>
  <c r="I60"/>
  <c r="J60"/>
  <c r="K60"/>
  <c r="L60"/>
  <c r="M60"/>
  <c r="N60"/>
  <c r="L57"/>
  <c r="L52"/>
  <c r="L46"/>
  <c r="L41"/>
  <c r="L35"/>
  <c r="L30"/>
  <c r="L24"/>
  <c r="L19"/>
  <c r="L13"/>
  <c r="L8"/>
  <c r="D3"/>
  <c r="E3"/>
  <c r="F3"/>
  <c r="G3"/>
  <c r="H3"/>
  <c r="I3"/>
  <c r="J3"/>
  <c r="K3"/>
  <c r="L3"/>
  <c r="M3"/>
  <c r="N3"/>
  <c r="L5" i="20"/>
  <c r="L9"/>
  <c r="L13"/>
  <c r="L17"/>
  <c r="L21"/>
  <c r="K5"/>
  <c r="K13"/>
  <c r="M21"/>
  <c r="M13"/>
  <c r="M5"/>
  <c r="M9"/>
  <c r="M17"/>
  <c r="N13"/>
  <c r="O13"/>
  <c r="N5"/>
  <c r="N9"/>
  <c r="N17"/>
  <c r="J5"/>
  <c r="J17"/>
  <c r="J21"/>
  <c r="F5"/>
  <c r="F17"/>
  <c r="F21"/>
  <c r="I5"/>
  <c r="I9"/>
  <c r="O9"/>
  <c r="I24" i="42"/>
  <c r="B27"/>
  <c r="B37"/>
  <c r="E27"/>
  <c r="E37"/>
  <c r="E45"/>
  <c r="B34"/>
  <c r="F42" i="59"/>
  <c r="G42"/>
  <c r="G57"/>
  <c r="F119"/>
  <c r="J129"/>
  <c r="H12"/>
  <c r="J12"/>
  <c r="M12"/>
  <c r="H13"/>
  <c r="H14"/>
  <c r="I13"/>
  <c r="I14"/>
  <c r="J13"/>
  <c r="K13"/>
  <c r="L13"/>
  <c r="L14"/>
  <c r="M13"/>
  <c r="M14"/>
  <c r="J14"/>
  <c r="H15"/>
  <c r="H16"/>
  <c r="I15"/>
  <c r="J15"/>
  <c r="J16"/>
  <c r="K15"/>
  <c r="L15"/>
  <c r="L16"/>
  <c r="M15"/>
  <c r="M16"/>
  <c r="D27"/>
  <c r="J130"/>
  <c r="F27"/>
  <c r="I27"/>
  <c r="B28"/>
  <c r="B29"/>
  <c r="C28"/>
  <c r="D28"/>
  <c r="D29"/>
  <c r="E28"/>
  <c r="F28"/>
  <c r="F29"/>
  <c r="G28"/>
  <c r="H28"/>
  <c r="I28"/>
  <c r="J28"/>
  <c r="J29"/>
  <c r="K28"/>
  <c r="L28"/>
  <c r="M28"/>
  <c r="B30"/>
  <c r="C30"/>
  <c r="D30"/>
  <c r="E30"/>
  <c r="E31"/>
  <c r="F30"/>
  <c r="F31"/>
  <c r="G30"/>
  <c r="G31"/>
  <c r="H30"/>
  <c r="I30"/>
  <c r="I31"/>
  <c r="J30"/>
  <c r="J31"/>
  <c r="K30"/>
  <c r="L30"/>
  <c r="L31"/>
  <c r="M30"/>
  <c r="M31"/>
  <c r="D31"/>
  <c r="C42"/>
  <c r="J42"/>
  <c r="K42"/>
  <c r="B43"/>
  <c r="C43"/>
  <c r="D43"/>
  <c r="D44"/>
  <c r="E43"/>
  <c r="F43"/>
  <c r="F44"/>
  <c r="G43"/>
  <c r="H43"/>
  <c r="I43"/>
  <c r="J43"/>
  <c r="K43"/>
  <c r="K44"/>
  <c r="L43"/>
  <c r="M43"/>
  <c r="G44"/>
  <c r="B45"/>
  <c r="C45"/>
  <c r="D45"/>
  <c r="E45"/>
  <c r="E46"/>
  <c r="F45"/>
  <c r="F46"/>
  <c r="G45"/>
  <c r="G46"/>
  <c r="H45"/>
  <c r="I45"/>
  <c r="I46"/>
  <c r="J45"/>
  <c r="K45"/>
  <c r="K46"/>
  <c r="L45"/>
  <c r="L46"/>
  <c r="M45"/>
  <c r="D57"/>
  <c r="E57"/>
  <c r="K57"/>
  <c r="L57"/>
  <c r="B58"/>
  <c r="B59"/>
  <c r="C58"/>
  <c r="D58"/>
  <c r="E58"/>
  <c r="E59"/>
  <c r="F58"/>
  <c r="G58"/>
  <c r="G59"/>
  <c r="H58"/>
  <c r="I58"/>
  <c r="J58"/>
  <c r="K58"/>
  <c r="K59"/>
  <c r="L58"/>
  <c r="M58"/>
  <c r="D59"/>
  <c r="L59"/>
  <c r="B60"/>
  <c r="B61"/>
  <c r="C60"/>
  <c r="C61"/>
  <c r="D60"/>
  <c r="E60"/>
  <c r="F60"/>
  <c r="F61"/>
  <c r="G60"/>
  <c r="G61"/>
  <c r="H60"/>
  <c r="I60"/>
  <c r="J60"/>
  <c r="K60"/>
  <c r="K61"/>
  <c r="L60"/>
  <c r="L61"/>
  <c r="M60"/>
  <c r="M61"/>
  <c r="D61"/>
  <c r="E61"/>
  <c r="B72"/>
  <c r="D119"/>
  <c r="J119"/>
  <c r="C71"/>
  <c r="D71"/>
  <c r="B73"/>
  <c r="C73"/>
  <c r="D73"/>
  <c r="E73"/>
  <c r="F73"/>
  <c r="F74"/>
  <c r="G73"/>
  <c r="G74"/>
  <c r="H73"/>
  <c r="I73"/>
  <c r="I74"/>
  <c r="J73"/>
  <c r="K73"/>
  <c r="L73"/>
  <c r="L74"/>
  <c r="M73"/>
  <c r="J74"/>
  <c r="B75"/>
  <c r="C75"/>
  <c r="D75"/>
  <c r="E75"/>
  <c r="F75"/>
  <c r="F76"/>
  <c r="G75"/>
  <c r="H75"/>
  <c r="I75"/>
  <c r="I76"/>
  <c r="J75"/>
  <c r="K75"/>
  <c r="K76"/>
  <c r="L75"/>
  <c r="L76"/>
  <c r="M75"/>
  <c r="N93"/>
  <c r="B103"/>
  <c r="C103"/>
  <c r="D103"/>
  <c r="E103"/>
  <c r="E104"/>
  <c r="F103"/>
  <c r="G103"/>
  <c r="G118"/>
  <c r="H103"/>
  <c r="H118"/>
  <c r="I103"/>
  <c r="I104"/>
  <c r="J103"/>
  <c r="J104"/>
  <c r="K103"/>
  <c r="K118"/>
  <c r="L103"/>
  <c r="L104"/>
  <c r="M103"/>
  <c r="M104"/>
  <c r="C104"/>
  <c r="D104"/>
  <c r="G104"/>
  <c r="B105"/>
  <c r="C105"/>
  <c r="C106"/>
  <c r="D105"/>
  <c r="D106"/>
  <c r="E105"/>
  <c r="F105"/>
  <c r="G105"/>
  <c r="G106"/>
  <c r="H105"/>
  <c r="H106"/>
  <c r="I105"/>
  <c r="J105"/>
  <c r="K105"/>
  <c r="K106"/>
  <c r="L105"/>
  <c r="L106"/>
  <c r="M105"/>
  <c r="E106"/>
  <c r="F106"/>
  <c r="I106"/>
  <c r="J106"/>
  <c r="M106"/>
  <c r="B108"/>
  <c r="C108"/>
  <c r="D108"/>
  <c r="E108"/>
  <c r="F108"/>
  <c r="G108"/>
  <c r="H108"/>
  <c r="I108"/>
  <c r="J108"/>
  <c r="K108"/>
  <c r="L108"/>
  <c r="M108"/>
  <c r="B109"/>
  <c r="C109"/>
  <c r="D109"/>
  <c r="E109"/>
  <c r="F109"/>
  <c r="G109"/>
  <c r="H109"/>
  <c r="I109"/>
  <c r="J109"/>
  <c r="K109"/>
  <c r="L109"/>
  <c r="M109"/>
  <c r="B110"/>
  <c r="C110"/>
  <c r="D110"/>
  <c r="E110"/>
  <c r="F110"/>
  <c r="G110"/>
  <c r="H110"/>
  <c r="I110"/>
  <c r="J110"/>
  <c r="K110"/>
  <c r="L110"/>
  <c r="M110"/>
  <c r="B111"/>
  <c r="C111"/>
  <c r="D111"/>
  <c r="E111"/>
  <c r="F111"/>
  <c r="G111"/>
  <c r="H111"/>
  <c r="I111"/>
  <c r="J111"/>
  <c r="K111"/>
  <c r="L111"/>
  <c r="M111"/>
  <c r="B115"/>
  <c r="C115"/>
  <c r="D115"/>
  <c r="E115"/>
  <c r="F115"/>
  <c r="G115"/>
  <c r="H115"/>
  <c r="I115"/>
  <c r="J115"/>
  <c r="K115"/>
  <c r="L115"/>
  <c r="M115"/>
  <c r="N116"/>
  <c r="K119"/>
  <c r="K120"/>
  <c r="D133"/>
  <c r="G133"/>
  <c r="J133"/>
  <c r="M133"/>
  <c r="C27" i="42"/>
  <c r="C37"/>
  <c r="C46"/>
  <c r="C45"/>
  <c r="C44"/>
  <c r="N27"/>
  <c r="N37"/>
  <c r="D27"/>
  <c r="D37"/>
  <c r="F27"/>
  <c r="F37"/>
  <c r="F46"/>
  <c r="G27"/>
  <c r="G46"/>
  <c r="H27"/>
  <c r="H37"/>
  <c r="H46"/>
  <c r="I27"/>
  <c r="I37"/>
  <c r="J27"/>
  <c r="J37"/>
  <c r="K27"/>
  <c r="K37"/>
  <c r="L27"/>
  <c r="L37"/>
  <c r="M37"/>
  <c r="M46"/>
  <c r="D45"/>
  <c r="F45"/>
  <c r="F44"/>
  <c r="G45"/>
  <c r="H45"/>
  <c r="H44"/>
  <c r="I45"/>
  <c r="J45"/>
  <c r="K45"/>
  <c r="L45"/>
  <c r="M45"/>
  <c r="M44"/>
  <c r="C39" i="43"/>
  <c r="D39"/>
  <c r="E39"/>
  <c r="F39"/>
  <c r="G39"/>
  <c r="H39"/>
  <c r="I39"/>
  <c r="J39"/>
  <c r="K39"/>
  <c r="L39"/>
  <c r="M39"/>
  <c r="N39"/>
  <c r="O25" i="42"/>
  <c r="O26"/>
  <c r="O28"/>
  <c r="O35"/>
  <c r="O36"/>
  <c r="O38"/>
  <c r="C34"/>
  <c r="D34"/>
  <c r="E34"/>
  <c r="F34"/>
  <c r="G34"/>
  <c r="H34"/>
  <c r="I34"/>
  <c r="J34"/>
  <c r="K34"/>
  <c r="L34"/>
  <c r="M34"/>
  <c r="N34"/>
  <c r="C24"/>
  <c r="D24"/>
  <c r="E24"/>
  <c r="F24"/>
  <c r="G24"/>
  <c r="H24"/>
  <c r="J24"/>
  <c r="K24"/>
  <c r="L24"/>
  <c r="M24"/>
  <c r="N24"/>
  <c r="B24"/>
  <c r="O16"/>
  <c r="C14"/>
  <c r="F14"/>
  <c r="G14"/>
  <c r="H14"/>
  <c r="I14"/>
  <c r="J14"/>
  <c r="K14"/>
  <c r="L14"/>
  <c r="M14"/>
  <c r="N14"/>
  <c r="C5"/>
  <c r="D5"/>
  <c r="E5"/>
  <c r="F5"/>
  <c r="G5"/>
  <c r="H5"/>
  <c r="I5"/>
  <c r="J5"/>
  <c r="K5"/>
  <c r="L5"/>
  <c r="M5"/>
  <c r="N5"/>
  <c r="O31" i="43"/>
  <c r="O30"/>
  <c r="O23"/>
  <c r="O22"/>
  <c r="O15"/>
  <c r="O13"/>
  <c r="O14"/>
  <c r="M62" i="31"/>
  <c r="M29" i="43"/>
  <c r="N29"/>
  <c r="M21"/>
  <c r="N21"/>
  <c r="M13"/>
  <c r="N13"/>
  <c r="B12" i="42"/>
  <c r="C12"/>
  <c r="D12"/>
  <c r="E12"/>
  <c r="F12"/>
  <c r="G12"/>
  <c r="H12"/>
  <c r="I12"/>
  <c r="J12"/>
  <c r="K12"/>
  <c r="L12"/>
  <c r="M12"/>
  <c r="N12"/>
  <c r="B13"/>
  <c r="B23"/>
  <c r="N66" i="31"/>
  <c r="N67"/>
  <c r="M57"/>
  <c r="M46"/>
  <c r="M41"/>
  <c r="M35"/>
  <c r="M30"/>
  <c r="M24"/>
  <c r="M19"/>
  <c r="M13"/>
  <c r="M8"/>
  <c r="G29" i="43"/>
  <c r="B11" i="14"/>
  <c r="B17"/>
  <c r="B23"/>
  <c r="O11" i="43"/>
  <c r="Q11"/>
  <c r="B13"/>
  <c r="C13"/>
  <c r="D13"/>
  <c r="E13"/>
  <c r="F13"/>
  <c r="G13"/>
  <c r="H13"/>
  <c r="I13"/>
  <c r="J13"/>
  <c r="K13"/>
  <c r="L13"/>
  <c r="O19"/>
  <c r="Q19"/>
  <c r="B21"/>
  <c r="C21"/>
  <c r="D21"/>
  <c r="E21"/>
  <c r="F21"/>
  <c r="G21"/>
  <c r="H21"/>
  <c r="I21"/>
  <c r="J21"/>
  <c r="K21"/>
  <c r="L21"/>
  <c r="O27"/>
  <c r="Q27"/>
  <c r="B29"/>
  <c r="C29"/>
  <c r="D29"/>
  <c r="E29"/>
  <c r="F29"/>
  <c r="H29"/>
  <c r="I29"/>
  <c r="J29"/>
  <c r="K29"/>
  <c r="L29"/>
  <c r="O35"/>
  <c r="Q35"/>
  <c r="Q38"/>
  <c r="O12" i="42"/>
  <c r="Q12"/>
  <c r="Q22"/>
  <c r="Q32"/>
  <c r="Q42"/>
  <c r="O22"/>
  <c r="O32"/>
  <c r="O42"/>
  <c r="O7" i="31"/>
  <c r="O8"/>
  <c r="B8"/>
  <c r="D8"/>
  <c r="E8"/>
  <c r="F8"/>
  <c r="G8"/>
  <c r="I8"/>
  <c r="K8"/>
  <c r="N8"/>
  <c r="B13"/>
  <c r="D13"/>
  <c r="E13"/>
  <c r="F13"/>
  <c r="I13"/>
  <c r="K13"/>
  <c r="N13"/>
  <c r="O17"/>
  <c r="D19"/>
  <c r="E19"/>
  <c r="F19"/>
  <c r="G19"/>
  <c r="I19"/>
  <c r="J19"/>
  <c r="K19"/>
  <c r="N19"/>
  <c r="B24"/>
  <c r="D24"/>
  <c r="E24"/>
  <c r="F24"/>
  <c r="G24"/>
  <c r="I24"/>
  <c r="J24"/>
  <c r="K24"/>
  <c r="N24"/>
  <c r="O29"/>
  <c r="O30"/>
  <c r="B30"/>
  <c r="D30"/>
  <c r="E30"/>
  <c r="F30"/>
  <c r="G30"/>
  <c r="I30"/>
  <c r="J30"/>
  <c r="K30"/>
  <c r="N30"/>
  <c r="B35"/>
  <c r="D35"/>
  <c r="E35"/>
  <c r="F35"/>
  <c r="G35"/>
  <c r="I35"/>
  <c r="J35"/>
  <c r="K35"/>
  <c r="N35"/>
  <c r="B41"/>
  <c r="D41"/>
  <c r="E41"/>
  <c r="F41"/>
  <c r="J41"/>
  <c r="N41"/>
  <c r="B46"/>
  <c r="D46"/>
  <c r="E46"/>
  <c r="F46"/>
  <c r="I46"/>
  <c r="K46"/>
  <c r="N46"/>
  <c r="D52"/>
  <c r="E52"/>
  <c r="F52"/>
  <c r="K52"/>
  <c r="N52"/>
  <c r="B57"/>
  <c r="D57"/>
  <c r="E57"/>
  <c r="F57"/>
  <c r="G57"/>
  <c r="I57"/>
  <c r="J57"/>
  <c r="K57"/>
  <c r="N57"/>
  <c r="B59"/>
  <c r="B61"/>
  <c r="D61"/>
  <c r="F61"/>
  <c r="N61"/>
  <c r="B62"/>
  <c r="B63"/>
  <c r="D62"/>
  <c r="E62"/>
  <c r="F62"/>
  <c r="I62"/>
  <c r="N62"/>
  <c r="D66"/>
  <c r="E66"/>
  <c r="F66"/>
  <c r="G66"/>
  <c r="K67"/>
  <c r="B67"/>
  <c r="E67"/>
  <c r="F67"/>
  <c r="J67"/>
  <c r="M67"/>
  <c r="G132" i="59"/>
  <c r="J57"/>
  <c r="J59"/>
  <c r="J61"/>
  <c r="C57"/>
  <c r="C59"/>
  <c r="G130"/>
  <c r="E27"/>
  <c r="M74"/>
  <c r="E29"/>
  <c r="L12"/>
  <c r="H27"/>
  <c r="I12"/>
  <c r="I16"/>
  <c r="F57"/>
  <c r="F59"/>
  <c r="M132"/>
  <c r="K74"/>
  <c r="G119"/>
  <c r="G120"/>
  <c r="J132"/>
  <c r="I42"/>
  <c r="I44"/>
  <c r="G27"/>
  <c r="G29"/>
  <c r="L119"/>
  <c r="C72"/>
  <c r="F71"/>
  <c r="H57"/>
  <c r="H59"/>
  <c r="E76"/>
  <c r="I46" i="42"/>
  <c r="I44"/>
  <c r="E46"/>
  <c r="H104" i="59"/>
  <c r="B22" i="42"/>
  <c r="K104" i="59"/>
  <c r="D42"/>
  <c r="H76"/>
  <c r="H31"/>
  <c r="B32" i="42"/>
  <c r="B42"/>
  <c r="C42"/>
  <c r="D42"/>
  <c r="E42"/>
  <c r="F42"/>
  <c r="G42"/>
  <c r="H42"/>
  <c r="I42"/>
  <c r="J42"/>
  <c r="K42"/>
  <c r="L42"/>
  <c r="M42"/>
  <c r="N42"/>
  <c r="C22"/>
  <c r="D22"/>
  <c r="E22"/>
  <c r="F22"/>
  <c r="G22"/>
  <c r="H22"/>
  <c r="I22"/>
  <c r="J22"/>
  <c r="K22"/>
  <c r="L22"/>
  <c r="M22"/>
  <c r="N22"/>
  <c r="H35" i="31"/>
  <c r="H66"/>
  <c r="H61"/>
  <c r="H63"/>
  <c r="M163" i="59"/>
  <c r="H29"/>
  <c r="D131"/>
  <c r="B76"/>
  <c r="E71"/>
  <c r="H71"/>
  <c r="J46"/>
  <c r="B21" i="20"/>
  <c r="C67" i="31"/>
  <c r="B102" i="59"/>
  <c r="J27"/>
  <c r="O24" i="31"/>
  <c r="K46" i="42"/>
  <c r="K44"/>
  <c r="E118" i="59"/>
  <c r="E74"/>
  <c r="I57"/>
  <c r="I119"/>
  <c r="I61"/>
  <c r="N48"/>
  <c r="H42"/>
  <c r="H46"/>
  <c r="J131"/>
  <c r="B42"/>
  <c r="B46"/>
  <c r="C27"/>
  <c r="C31"/>
  <c r="H41" i="31"/>
  <c r="H17" i="20"/>
  <c r="H67" i="31"/>
  <c r="H68"/>
  <c r="O40"/>
  <c r="J46"/>
  <c r="C13" i="42"/>
  <c r="D13"/>
  <c r="E13"/>
  <c r="F13"/>
  <c r="G13"/>
  <c r="H13"/>
  <c r="I13"/>
  <c r="J13"/>
  <c r="K13"/>
  <c r="L13"/>
  <c r="M13"/>
  <c r="N13"/>
  <c r="C44" i="59"/>
  <c r="C118"/>
  <c r="M42"/>
  <c r="M46"/>
  <c r="L29"/>
  <c r="L27"/>
  <c r="M129"/>
  <c r="K12"/>
  <c r="K16"/>
  <c r="J13" i="31"/>
  <c r="I59" i="59"/>
  <c r="H74"/>
  <c r="M44"/>
  <c r="M29"/>
  <c r="M118"/>
  <c r="I29"/>
  <c r="I118"/>
  <c r="C66" i="31"/>
  <c r="O39"/>
  <c r="C41"/>
  <c r="D23" i="20"/>
  <c r="J161" i="59"/>
  <c r="M161"/>
  <c r="M131"/>
  <c r="G41" i="31"/>
  <c r="M134" i="59"/>
  <c r="F72"/>
  <c r="I71"/>
  <c r="I72"/>
  <c r="J118"/>
  <c r="J120"/>
  <c r="N33"/>
  <c r="B74"/>
  <c r="B118"/>
  <c r="D74"/>
  <c r="D72"/>
  <c r="N3"/>
  <c r="B5" i="20"/>
  <c r="O5"/>
  <c r="O18" i="31"/>
  <c r="D2"/>
  <c r="C59"/>
  <c r="G13"/>
  <c r="O12"/>
  <c r="G62"/>
  <c r="L118" i="59"/>
  <c r="L120"/>
  <c r="G71"/>
  <c r="J71"/>
  <c r="C74"/>
  <c r="H61"/>
  <c r="H119"/>
  <c r="H120"/>
  <c r="B44"/>
  <c r="D130"/>
  <c r="M119"/>
  <c r="M120"/>
  <c r="K41" i="31"/>
  <c r="C76" i="59"/>
  <c r="B27"/>
  <c r="N18"/>
  <c r="B66" i="31"/>
  <c r="G61"/>
  <c r="I41"/>
  <c r="F104" i="59"/>
  <c r="F118"/>
  <c r="F120"/>
  <c r="G76"/>
  <c r="H44"/>
  <c r="L42"/>
  <c r="K29"/>
  <c r="K14"/>
  <c r="E42"/>
  <c r="G131"/>
  <c r="O45" i="31"/>
  <c r="C119" i="59"/>
  <c r="C32" i="42"/>
  <c r="D32"/>
  <c r="E32"/>
  <c r="F32"/>
  <c r="G32"/>
  <c r="H32"/>
  <c r="I32"/>
  <c r="J32"/>
  <c r="K32"/>
  <c r="L32"/>
  <c r="M32"/>
  <c r="N32"/>
  <c r="L44" i="59"/>
  <c r="E44"/>
  <c r="M130"/>
  <c r="B31"/>
  <c r="M76"/>
  <c r="I67" i="31"/>
  <c r="G46"/>
  <c r="J8"/>
  <c r="B104" i="59"/>
  <c r="J76"/>
  <c r="M59"/>
  <c r="D118"/>
  <c r="D120"/>
  <c r="C29"/>
  <c r="E119"/>
  <c r="E120"/>
  <c r="E44" i="42"/>
  <c r="K17" i="20"/>
  <c r="K23"/>
  <c r="J66" i="31"/>
  <c r="D46" i="59"/>
  <c r="N46" i="42"/>
  <c r="O11" i="31"/>
  <c r="O61"/>
  <c r="H46"/>
  <c r="E2"/>
  <c r="D59"/>
  <c r="L71" i="59"/>
  <c r="L72"/>
  <c r="G155"/>
  <c r="G72"/>
  <c r="J176"/>
  <c r="J187"/>
  <c r="M144"/>
  <c r="M155"/>
  <c r="I120"/>
  <c r="H23" i="20"/>
  <c r="O46" i="31"/>
  <c r="C120" i="59"/>
  <c r="F2" i="31"/>
  <c r="G2"/>
  <c r="E59"/>
  <c r="O35"/>
  <c r="O29" i="43"/>
  <c r="L46" i="42"/>
  <c r="L44"/>
  <c r="M52" i="31"/>
  <c r="O66"/>
  <c r="D46" i="42"/>
  <c r="O18"/>
  <c r="O14"/>
  <c r="D44"/>
  <c r="O37"/>
  <c r="O34"/>
  <c r="G44"/>
  <c r="E23" i="20"/>
  <c r="F23"/>
  <c r="F63" i="31"/>
  <c r="I63"/>
  <c r="K63"/>
  <c r="N63"/>
  <c r="C63"/>
  <c r="C68"/>
  <c r="O19"/>
  <c r="O13"/>
  <c r="G63"/>
  <c r="M23" i="20"/>
  <c r="M63" i="31"/>
  <c r="F68"/>
  <c r="O17" i="20"/>
  <c r="J63" i="31"/>
  <c r="D68"/>
  <c r="L23" i="20"/>
  <c r="C23"/>
  <c r="K68" i="31"/>
  <c r="J23" i="20"/>
  <c r="O62" i="31"/>
  <c r="B68"/>
  <c r="B19"/>
  <c r="O41"/>
  <c r="M187" i="59"/>
  <c r="N78"/>
  <c r="G144"/>
  <c r="J134"/>
  <c r="B57"/>
  <c r="B23" i="20"/>
  <c r="B24"/>
  <c r="M176" i="59"/>
  <c r="B106"/>
  <c r="D132"/>
  <c r="D144"/>
  <c r="N63"/>
  <c r="D76"/>
  <c r="C101"/>
  <c r="B119"/>
  <c r="B120"/>
  <c r="C46"/>
  <c r="J44"/>
  <c r="K31"/>
  <c r="D101"/>
  <c r="D102"/>
  <c r="C102"/>
  <c r="D63" i="31"/>
  <c r="E63"/>
  <c r="E68"/>
  <c r="G23" i="20"/>
  <c r="B25" s="1"/>
  <c r="G67" i="31"/>
  <c r="G52"/>
  <c r="H2"/>
  <c r="G59"/>
  <c r="F59"/>
  <c r="G68"/>
  <c r="I2"/>
  <c r="H59"/>
  <c r="J2"/>
  <c r="I59"/>
  <c r="J59"/>
  <c r="K2"/>
  <c r="L2"/>
  <c r="K59"/>
  <c r="L59"/>
  <c r="M2"/>
  <c r="N2"/>
  <c r="N59"/>
  <c r="M59"/>
  <c r="I68"/>
  <c r="I52"/>
  <c r="I23" i="20"/>
  <c r="J68" i="31"/>
  <c r="L63"/>
  <c r="O57"/>
  <c r="L68"/>
  <c r="O67"/>
  <c r="O68"/>
  <c r="M68"/>
  <c r="O63"/>
  <c r="E4" i="57"/>
  <c r="N68" i="31"/>
  <c r="O21" i="20"/>
  <c r="N23"/>
  <c r="B26" s="1"/>
  <c r="O23"/>
  <c r="O52" i="31"/>
  <c r="J144" i="59"/>
  <c r="J155"/>
  <c r="E72"/>
  <c r="J46" i="42"/>
  <c r="J44"/>
  <c r="O27"/>
  <c r="O24"/>
  <c r="O17"/>
  <c r="A102"/>
  <c r="A120"/>
  <c r="A85"/>
  <c r="A100"/>
  <c r="A118"/>
  <c r="A83"/>
  <c r="A98"/>
  <c r="A116"/>
  <c r="A81"/>
  <c r="A96"/>
  <c r="A114"/>
  <c r="A79"/>
  <c r="A94"/>
  <c r="A112"/>
  <c r="A77"/>
  <c r="A92"/>
  <c r="A110"/>
  <c r="A75"/>
  <c r="B90"/>
  <c r="B108"/>
  <c r="B73"/>
  <c r="B101"/>
  <c r="B119"/>
  <c r="B84"/>
  <c r="B99"/>
  <c r="B117"/>
  <c r="B82"/>
  <c r="B97"/>
  <c r="B115"/>
  <c r="B80"/>
  <c r="B95"/>
  <c r="B113"/>
  <c r="B78"/>
  <c r="B93"/>
  <c r="B111"/>
  <c r="B76"/>
  <c r="B91"/>
  <c r="B109"/>
  <c r="B74"/>
  <c r="A108"/>
  <c r="A73"/>
  <c r="A90"/>
  <c r="A119"/>
  <c r="A84"/>
  <c r="A101"/>
  <c r="A117"/>
  <c r="A82"/>
  <c r="A99"/>
  <c r="A115"/>
  <c r="A80"/>
  <c r="A97"/>
  <c r="A113"/>
  <c r="A78"/>
  <c r="A95"/>
  <c r="A111"/>
  <c r="A76"/>
  <c r="A93"/>
  <c r="A109"/>
  <c r="A74"/>
  <c r="A91"/>
  <c r="B120"/>
  <c r="B85"/>
  <c r="B102"/>
  <c r="B118"/>
  <c r="B83"/>
  <c r="B100"/>
  <c r="B116"/>
  <c r="B81"/>
  <c r="B98"/>
  <c r="B114"/>
  <c r="B79"/>
  <c r="B96"/>
  <c r="B112"/>
  <c r="B77"/>
  <c r="B94"/>
  <c r="B110"/>
  <c r="B75"/>
  <c r="B92"/>
  <c r="O6"/>
  <c r="O5"/>
  <c r="B5"/>
  <c r="O21" i="43"/>
  <c r="B33" i="42"/>
  <c r="C23"/>
  <c r="D23"/>
  <c r="E23"/>
  <c r="F23"/>
  <c r="G23"/>
  <c r="H23"/>
  <c r="I23"/>
  <c r="J23"/>
  <c r="K23"/>
  <c r="L23"/>
  <c r="M23"/>
  <c r="N23"/>
  <c r="N44"/>
  <c r="O45"/>
  <c r="C33"/>
  <c r="D33"/>
  <c r="E33"/>
  <c r="F33"/>
  <c r="G33"/>
  <c r="H33"/>
  <c r="I33"/>
  <c r="J33"/>
  <c r="K33"/>
  <c r="L33"/>
  <c r="M33"/>
  <c r="N33"/>
  <c r="B43"/>
  <c r="C43"/>
  <c r="D43"/>
  <c r="E43"/>
  <c r="F43"/>
  <c r="G43"/>
  <c r="H43"/>
  <c r="I43"/>
  <c r="J43"/>
  <c r="K43"/>
  <c r="L43"/>
  <c r="M43"/>
  <c r="N43"/>
  <c r="J72" i="59"/>
  <c r="M71"/>
  <c r="M72"/>
  <c r="K71"/>
  <c r="K72"/>
  <c r="H72"/>
  <c r="E101"/>
  <c r="D155"/>
  <c r="N38" i="43"/>
  <c r="N37"/>
  <c r="N5"/>
  <c r="F38"/>
  <c r="F37"/>
  <c r="F5"/>
  <c r="E38"/>
  <c r="E37"/>
  <c r="E5"/>
  <c r="D38"/>
  <c r="D37"/>
  <c r="D5"/>
  <c r="C38"/>
  <c r="C37"/>
  <c r="C5"/>
  <c r="B5"/>
  <c r="O6"/>
  <c r="O5"/>
  <c r="B38"/>
  <c r="C11"/>
  <c r="D11"/>
  <c r="E11"/>
  <c r="F11"/>
  <c r="G11"/>
  <c r="H11"/>
  <c r="I11"/>
  <c r="J11"/>
  <c r="K11"/>
  <c r="L11"/>
  <c r="M11"/>
  <c r="N11"/>
  <c r="B19"/>
  <c r="C12"/>
  <c r="D12"/>
  <c r="E12"/>
  <c r="F12"/>
  <c r="G12"/>
  <c r="H12"/>
  <c r="I12"/>
  <c r="J12"/>
  <c r="K12"/>
  <c r="L12"/>
  <c r="M12"/>
  <c r="N12"/>
  <c r="B20"/>
  <c r="M5"/>
  <c r="M38"/>
  <c r="M37"/>
  <c r="L38"/>
  <c r="L37"/>
  <c r="L5"/>
  <c r="K38"/>
  <c r="K37"/>
  <c r="K5"/>
  <c r="J5"/>
  <c r="J38"/>
  <c r="J37"/>
  <c r="I38"/>
  <c r="I37"/>
  <c r="I5"/>
  <c r="H38"/>
  <c r="H37"/>
  <c r="H5"/>
  <c r="G5"/>
  <c r="G38"/>
  <c r="G37"/>
  <c r="O46" i="42"/>
  <c r="O44"/>
  <c r="E6" i="57"/>
  <c r="B44" i="42"/>
  <c r="O39" i="43"/>
  <c r="B37"/>
  <c r="E102" i="59"/>
  <c r="F101"/>
  <c r="C20" i="43"/>
  <c r="D20"/>
  <c r="E20"/>
  <c r="F20"/>
  <c r="G20"/>
  <c r="H20"/>
  <c r="I20"/>
  <c r="J20"/>
  <c r="K20"/>
  <c r="L20"/>
  <c r="M20"/>
  <c r="N20"/>
  <c r="B28"/>
  <c r="B27"/>
  <c r="C19"/>
  <c r="D19"/>
  <c r="E19"/>
  <c r="F19"/>
  <c r="G19"/>
  <c r="H19"/>
  <c r="I19"/>
  <c r="J19"/>
  <c r="K19"/>
  <c r="L19"/>
  <c r="M19"/>
  <c r="N19"/>
  <c r="O38"/>
  <c r="O37"/>
  <c r="E5" i="57"/>
  <c r="G101" i="59"/>
  <c r="F102"/>
  <c r="B35" i="43"/>
  <c r="C35"/>
  <c r="D35"/>
  <c r="E35"/>
  <c r="F35"/>
  <c r="G35"/>
  <c r="H35"/>
  <c r="I35"/>
  <c r="J35"/>
  <c r="K35"/>
  <c r="L35"/>
  <c r="M35"/>
  <c r="N35"/>
  <c r="C27"/>
  <c r="D27"/>
  <c r="E27"/>
  <c r="F27"/>
  <c r="G27"/>
  <c r="H27"/>
  <c r="I27"/>
  <c r="J27"/>
  <c r="K27"/>
  <c r="L27"/>
  <c r="M27"/>
  <c r="N27"/>
  <c r="C28"/>
  <c r="D28"/>
  <c r="E28"/>
  <c r="F28"/>
  <c r="G28"/>
  <c r="H28"/>
  <c r="I28"/>
  <c r="J28"/>
  <c r="K28"/>
  <c r="L28"/>
  <c r="M28"/>
  <c r="N28"/>
  <c r="B36"/>
  <c r="C36"/>
  <c r="D36"/>
  <c r="E36"/>
  <c r="F36"/>
  <c r="G36"/>
  <c r="H36"/>
  <c r="I36"/>
  <c r="J36"/>
  <c r="K36"/>
  <c r="L36"/>
  <c r="M36"/>
  <c r="N36"/>
  <c r="G102" i="59"/>
  <c r="H101"/>
  <c r="I101"/>
  <c r="H102"/>
  <c r="I102"/>
  <c r="J101"/>
  <c r="J102"/>
  <c r="K101"/>
  <c r="L101"/>
  <c r="K102"/>
  <c r="M101"/>
  <c r="M102"/>
  <c r="L102"/>
</calcChain>
</file>

<file path=xl/comments1.xml><?xml version="1.0" encoding="utf-8"?>
<comments xmlns="http://schemas.openxmlformats.org/spreadsheetml/2006/main">
  <authors>
    <author>theeranart</author>
  </authors>
  <commentList>
    <comment ref="C3" authorId="0">
      <text>
        <r>
          <rPr>
            <sz val="8"/>
            <color indexed="81"/>
            <rFont val="Tahoma"/>
            <family val="2"/>
          </rPr>
          <t xml:space="preserve">W/T discuss what base on by management …Q2 in flood crisis
</t>
        </r>
      </text>
    </comment>
  </commentList>
</comments>
</file>

<file path=xl/comments2.xml><?xml version="1.0" encoding="utf-8"?>
<comments xmlns="http://schemas.openxmlformats.org/spreadsheetml/2006/main">
  <authors>
    <author>theeranart</author>
  </authors>
  <commentList>
    <comment ref="A6" authorId="0">
      <text>
        <r>
          <rPr>
            <b/>
            <sz val="9"/>
            <color indexed="81"/>
            <rFont val="Tahoma"/>
            <family val="2"/>
          </rPr>
          <t>theeranart:</t>
        </r>
        <r>
          <rPr>
            <sz val="9"/>
            <color indexed="81"/>
            <rFont val="Tahoma"/>
            <family val="2"/>
          </rPr>
          <t xml:space="preserve">
Only Damper that same Qty in FPY</t>
        </r>
      </text>
    </comment>
  </commentList>
</comments>
</file>

<file path=xl/sharedStrings.xml><?xml version="1.0" encoding="utf-8"?>
<sst xmlns="http://schemas.openxmlformats.org/spreadsheetml/2006/main" count="588" uniqueCount="229">
  <si>
    <t>On Time Shipments</t>
  </si>
  <si>
    <t>Total</t>
  </si>
  <si>
    <t>Units</t>
  </si>
  <si>
    <t>Backlog</t>
  </si>
  <si>
    <t>Shipped</t>
  </si>
  <si>
    <t>% On Time</t>
  </si>
  <si>
    <t>Orders</t>
  </si>
  <si>
    <t>Proto Types</t>
  </si>
  <si>
    <t>Arms</t>
  </si>
  <si>
    <t>Total Orders</t>
  </si>
  <si>
    <t>Orders Shipped On-Time</t>
  </si>
  <si>
    <t>Total Units (Millions)</t>
  </si>
  <si>
    <t>Goal</t>
  </si>
  <si>
    <t>Yield (%)</t>
  </si>
  <si>
    <t>Qty Parts (x1K)</t>
  </si>
  <si>
    <t>Cum Q2</t>
  </si>
  <si>
    <t>Cum Q1</t>
  </si>
  <si>
    <t>Cum Q3</t>
  </si>
  <si>
    <t>Month</t>
  </si>
  <si>
    <t>4 week month</t>
  </si>
  <si>
    <t>Cum Q4</t>
  </si>
  <si>
    <t>Total units and orders includes prototypes</t>
  </si>
  <si>
    <t>Week Ending</t>
  </si>
  <si>
    <t>Max Allow</t>
  </si>
  <si>
    <t>ARM</t>
  </si>
  <si>
    <t>BALANCE WEIGHT</t>
  </si>
  <si>
    <t>DAMPER</t>
  </si>
  <si>
    <t>PROTOTYPES</t>
  </si>
  <si>
    <t xml:space="preserve">Unit </t>
  </si>
  <si>
    <t>Balance Weight</t>
  </si>
  <si>
    <t>Damper</t>
  </si>
  <si>
    <t>Units Shipped On-Time (Millions)</t>
  </si>
  <si>
    <t>SUS Sliver</t>
  </si>
  <si>
    <t>Final Arm Dampers</t>
  </si>
  <si>
    <t>Work Week No.</t>
  </si>
  <si>
    <t>Final Arm</t>
  </si>
  <si>
    <t>Final Balance Weight</t>
  </si>
  <si>
    <t>Final Interference Band</t>
  </si>
  <si>
    <t>WW No.</t>
  </si>
  <si>
    <t>Dent</t>
  </si>
  <si>
    <t>Burr</t>
  </si>
  <si>
    <t>Bent</t>
  </si>
  <si>
    <t>Fiber</t>
  </si>
  <si>
    <t>Stain</t>
  </si>
  <si>
    <t>DD</t>
  </si>
  <si>
    <t>Air Bubble</t>
  </si>
  <si>
    <t>Adh. Contam</t>
  </si>
  <si>
    <t>Adh. Sq Out</t>
  </si>
  <si>
    <t>Incomp. Adh.</t>
  </si>
  <si>
    <t>Contamination</t>
  </si>
  <si>
    <t>VEM Cutting edge</t>
  </si>
  <si>
    <t>Adh. Rollover</t>
  </si>
  <si>
    <t>Extra RT</t>
  </si>
  <si>
    <t>Adhesive Fold</t>
  </si>
  <si>
    <t>Other</t>
  </si>
  <si>
    <t>Bends</t>
  </si>
  <si>
    <t>Stains</t>
  </si>
  <si>
    <t>Scratches</t>
  </si>
  <si>
    <t>Material Line</t>
  </si>
  <si>
    <t>Corrosion</t>
  </si>
  <si>
    <t>Chip</t>
  </si>
  <si>
    <t>Bumps</t>
  </si>
  <si>
    <t>Burrs</t>
  </si>
  <si>
    <t>Conatmaination</t>
  </si>
  <si>
    <t>Cracks</t>
  </si>
  <si>
    <t>Dents/ Pits</t>
  </si>
  <si>
    <t>Hub Voids</t>
  </si>
  <si>
    <t>Hub Incomplete</t>
  </si>
  <si>
    <t>Undercut NG</t>
  </si>
  <si>
    <t>Sliver Burr</t>
  </si>
  <si>
    <t>Scratch</t>
  </si>
  <si>
    <t>Final Balance Weight (Final OQA data)</t>
  </si>
  <si>
    <t>Qty Parts (1st Passx1K)</t>
  </si>
  <si>
    <t>All Products Combined</t>
  </si>
  <si>
    <t>All products combined</t>
  </si>
  <si>
    <t>OTD</t>
  </si>
  <si>
    <t>FPY</t>
  </si>
  <si>
    <t>CUM YIELD</t>
  </si>
  <si>
    <t>RA's</t>
  </si>
  <si>
    <t>Safety</t>
  </si>
  <si>
    <t>Total Budgeted Unit Sales</t>
  </si>
  <si>
    <t>Weighted Avg</t>
  </si>
  <si>
    <t>Zero</t>
  </si>
  <si>
    <t>Targets for FPY and CY are generated from Budgeted Target Volumes, and Target Yields by Product family.</t>
  </si>
  <si>
    <t>Note: Both FPY and Cum Yields are based on Weighted Averages.</t>
  </si>
  <si>
    <t>Final Arm Damper (100% Inspection)</t>
  </si>
  <si>
    <t>Final Arm (100% Inspection)</t>
  </si>
  <si>
    <t>-</t>
  </si>
  <si>
    <t>On-Time Delivery Data sheet</t>
  </si>
  <si>
    <t>IB</t>
  </si>
  <si>
    <t>TBD</t>
  </si>
  <si>
    <t>Delam</t>
  </si>
  <si>
    <t>Rust</t>
  </si>
  <si>
    <t>inv#</t>
  </si>
  <si>
    <t>WW Number.</t>
  </si>
  <si>
    <t>Final IB (Final OQA data)</t>
  </si>
  <si>
    <t>Loose Incomplete</t>
  </si>
  <si>
    <t>Removable Contam</t>
  </si>
  <si>
    <t>Non-Removable Contam</t>
  </si>
  <si>
    <t>Corrugation Deform</t>
  </si>
  <si>
    <t>De-tab misaligment</t>
  </si>
  <si>
    <t>Bump</t>
  </si>
  <si>
    <t>Micro Blemish</t>
  </si>
  <si>
    <t>Fretting</t>
  </si>
  <si>
    <t>R Contam</t>
  </si>
  <si>
    <t>N Brurr</t>
  </si>
  <si>
    <t>D Burr</t>
  </si>
  <si>
    <t>Gap Over</t>
  </si>
  <si>
    <t>NO Gap</t>
  </si>
  <si>
    <t>Double part</t>
  </si>
  <si>
    <t>Lost Time Accident (Days)</t>
  </si>
  <si>
    <t>RM Burr</t>
  </si>
  <si>
    <t>Double Part</t>
  </si>
  <si>
    <t>Adh. Recessed</t>
  </si>
  <si>
    <t>Scracth</t>
  </si>
  <si>
    <t>Aligment out-of R, W</t>
  </si>
  <si>
    <t>Bump Cutting</t>
  </si>
  <si>
    <t>Jan</t>
  </si>
  <si>
    <t>Exchange Rate</t>
  </si>
  <si>
    <t>Feb</t>
  </si>
  <si>
    <t>Mar</t>
  </si>
  <si>
    <t>Apr</t>
  </si>
  <si>
    <t>May</t>
  </si>
  <si>
    <t>Jun</t>
  </si>
  <si>
    <t>July</t>
  </si>
  <si>
    <t>Aug</t>
  </si>
  <si>
    <t>Sept</t>
  </si>
  <si>
    <t>Oct</t>
  </si>
  <si>
    <t>Nov</t>
  </si>
  <si>
    <t>Dec</t>
  </si>
  <si>
    <t>Swage Mounts</t>
  </si>
  <si>
    <t>Yield</t>
  </si>
  <si>
    <t>Landed DM Cost/unit</t>
  </si>
  <si>
    <t>IDM Cost/Unit</t>
  </si>
  <si>
    <t>Manuf DL Headcount</t>
  </si>
  <si>
    <t>Cleaning DL/month</t>
  </si>
  <si>
    <t>QA DL Headcount</t>
  </si>
  <si>
    <t>Toolmakers H/C</t>
  </si>
  <si>
    <t>Tool Maint Costs/month</t>
  </si>
  <si>
    <t>Tool Maint Cost/unit</t>
  </si>
  <si>
    <t>Total DL Cost/month</t>
  </si>
  <si>
    <t>Total DL Cost/unit</t>
  </si>
  <si>
    <t>Total Toolmaker Cost/month</t>
  </si>
  <si>
    <t>Balance Weights</t>
  </si>
  <si>
    <t>Total Toolmaker Cost/unit</t>
  </si>
  <si>
    <t>Stainless Arms - 1.8"</t>
  </si>
  <si>
    <t>Clad Data Arms</t>
  </si>
  <si>
    <t>Arm Dampers</t>
  </si>
  <si>
    <t>INTERFERENCE BANDS</t>
  </si>
  <si>
    <t>Total Manufacturing (Damper&amp;IB) DL/month</t>
  </si>
  <si>
    <t>Total QA DL/month</t>
  </si>
  <si>
    <t>Total Warehouse + others DL/mo</t>
  </si>
  <si>
    <t>DL Cost/month (Baht)</t>
  </si>
  <si>
    <t>Toolmaker Cost/Mo (Baht)</t>
  </si>
  <si>
    <t>Total Toolmaker H/C per month</t>
  </si>
  <si>
    <t>Sales by Quarter, by product</t>
  </si>
  <si>
    <t>Actual</t>
  </si>
  <si>
    <t>B/W's</t>
  </si>
  <si>
    <t>Dampers</t>
  </si>
  <si>
    <t>IB's</t>
  </si>
  <si>
    <t>Cum Yield Targets by Product</t>
  </si>
  <si>
    <t>Weighted Average Yield per Budget Volumes</t>
  </si>
  <si>
    <t>Actual CQ4 -10</t>
  </si>
  <si>
    <t>CQ1'11</t>
  </si>
  <si>
    <t>CQ2'11</t>
  </si>
  <si>
    <t>CQ3'11</t>
  </si>
  <si>
    <t>CQ4'11</t>
  </si>
  <si>
    <t>2011 Fiscal Year Sales Plan (Updated Sales Qty's and Sales Prices)</t>
  </si>
  <si>
    <t>Jan 6, 2011 AOP</t>
  </si>
  <si>
    <t>Comments</t>
  </si>
  <si>
    <t>Chart's/Engineering projections , including NCMR lots</t>
  </si>
  <si>
    <t>Per BOM projections, yielded, and OTP factor included.</t>
  </si>
  <si>
    <t>Per BOM 2011 worksheet</t>
  </si>
  <si>
    <t>Add one per shift for Swage Mounts, starting two months in advance of HVM</t>
  </si>
  <si>
    <t>John's Figures, need to recalc for Thailand.</t>
  </si>
  <si>
    <t>2011 AOP</t>
  </si>
  <si>
    <t>Dales Estimates</t>
  </si>
  <si>
    <t>Dale's Estimates</t>
  </si>
  <si>
    <t>IDM Cost/Unit &amp; ECD Costs/Chemicals</t>
  </si>
  <si>
    <t>Disk Clamps</t>
  </si>
  <si>
    <t>Total Manuf (Arm, BW/SM, DC ) DL/month</t>
  </si>
  <si>
    <t>Days/month</t>
  </si>
  <si>
    <t>DL Cost (All products)</t>
  </si>
  <si>
    <t>Total Units/month produced</t>
  </si>
  <si>
    <t>DL Cost/Unit (All products)</t>
  </si>
  <si>
    <t>MP</t>
  </si>
  <si>
    <t>DC</t>
  </si>
  <si>
    <t>Clad Data Arms +SUS 1.8"</t>
  </si>
  <si>
    <t>Clad Data Arms + SUS 1.8"</t>
  </si>
  <si>
    <t xml:space="preserve"> CQ4 -10</t>
  </si>
  <si>
    <t>Hburr</t>
  </si>
  <si>
    <t>Lburr</t>
  </si>
  <si>
    <t>HburrDetab</t>
  </si>
  <si>
    <t>LburrDetab</t>
  </si>
  <si>
    <t>Grind Line</t>
  </si>
  <si>
    <t>Black Spot</t>
  </si>
  <si>
    <t>Folds</t>
  </si>
  <si>
    <t>Note: Both FPY and Cum Yields are including scrap part NCMR</t>
  </si>
  <si>
    <t xml:space="preserve"> </t>
  </si>
  <si>
    <t>Qty Parts Input (x1K)</t>
  </si>
  <si>
    <t>Qty Defective (x1K)</t>
  </si>
  <si>
    <t>Qty Scrap with NCMR (x1K)</t>
  </si>
  <si>
    <t>Qty Parts output (x1K)</t>
  </si>
  <si>
    <t>Qty Defective + NCMR</t>
  </si>
  <si>
    <t>Sales by Quarter, by product, per AOP/Budget</t>
  </si>
  <si>
    <t>AOP</t>
  </si>
  <si>
    <t>Target</t>
  </si>
  <si>
    <t xml:space="preserve"> -</t>
  </si>
  <si>
    <t>FPY Yield Targets by Productl (Cum Yield * OQA LAR)</t>
  </si>
  <si>
    <t>Actuals and Forecasts on Immediate start and finish of Quarters.</t>
  </si>
  <si>
    <t>Actual Unit Sales</t>
  </si>
  <si>
    <t>Slug dent</t>
  </si>
  <si>
    <t>Performance to Date, CQ3</t>
  </si>
  <si>
    <t>Q3 Cum</t>
  </si>
  <si>
    <t>CQ4 Goal</t>
  </si>
  <si>
    <t>sale's Forecasts</t>
  </si>
  <si>
    <t>Actual unit sales</t>
  </si>
  <si>
    <t>Sale forcast</t>
  </si>
  <si>
    <t>Sale Forcast</t>
  </si>
  <si>
    <t>target</t>
  </si>
  <si>
    <t>NCMR-Proj</t>
  </si>
  <si>
    <t>Thru WW27 '12  //  CQ3 '12 ends WW39'12</t>
  </si>
  <si>
    <t>January 2012 Units Shipped</t>
  </si>
  <si>
    <t>February 2012 Units Shipped</t>
  </si>
  <si>
    <t>March 2012 Units Shipped</t>
  </si>
  <si>
    <t>CQ2'12 Actuals</t>
  </si>
  <si>
    <t>CQ3'12 Goal</t>
  </si>
  <si>
    <t>CQ4'12 Goal</t>
  </si>
  <si>
    <t>Back</t>
  </si>
</sst>
</file>

<file path=xl/styles.xml><?xml version="1.0" encoding="utf-8"?>
<styleSheet xmlns="http://schemas.openxmlformats.org/spreadsheetml/2006/main">
  <numFmts count="14">
    <numFmt numFmtId="43" formatCode="_-* #,##0.00_-;\-* #,##0.00_-;_-* &quot;-&quot;??_-;_-@_-"/>
    <numFmt numFmtId="169" formatCode="_(* #,##0_);_(* \(#,##0\);_(* &quot;-&quot;_);_(@_)"/>
    <numFmt numFmtId="170" formatCode="_(&quot;$&quot;* #,##0.00_);_(&quot;$&quot;* \(#,##0.00\);_(&quot;$&quot;* &quot;-&quot;??_);_(@_)"/>
    <numFmt numFmtId="171" formatCode="_(* #,##0.00_);_(* \(#,##0.00\);_(* &quot;-&quot;??_);_(@_)"/>
    <numFmt numFmtId="180" formatCode="0.0%"/>
    <numFmt numFmtId="181" formatCode="0.0"/>
    <numFmt numFmtId="182" formatCode="_(* #,##0_);_(* \(#,##0\);_(* &quot;-&quot;??_);_(@_)"/>
    <numFmt numFmtId="184" formatCode="#,##0.0000"/>
    <numFmt numFmtId="185" formatCode="_(&quot;$&quot;* #,##0.0000_);_(&quot;$&quot;* \(#,##0.0000\);_(&quot;$&quot;* &quot;-&quot;??_);_(@_)"/>
    <numFmt numFmtId="186" formatCode="_(&quot;$&quot;* #,##0_);_(&quot;$&quot;* \(#,##0\);_(&quot;$&quot;* &quot;-&quot;??_);_(@_)"/>
    <numFmt numFmtId="187" formatCode="_(&quot;$&quot;* #,##0.00000_);_(&quot;$&quot;* \(#,##0.00000\);_(&quot;$&quot;* &quot;-&quot;??_);_(@_)"/>
    <numFmt numFmtId="193" formatCode="_(* #,##0.0_);_(* \(#,##0.0\);_(* &quot;-&quot;??_);_(@_)"/>
    <numFmt numFmtId="194" formatCode="0.000"/>
    <numFmt numFmtId="215" formatCode="#,##0.000,"/>
  </numFmts>
  <fonts count="38">
    <font>
      <sz val="10"/>
      <name val="Arial"/>
    </font>
    <font>
      <sz val="10"/>
      <name val="Arial"/>
    </font>
    <font>
      <b/>
      <u/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7.5"/>
      <color indexed="12"/>
      <name val="Arial"/>
      <family val="2"/>
    </font>
    <font>
      <sz val="9"/>
      <name val="Verdana"/>
      <family val="2"/>
    </font>
    <font>
      <u/>
      <sz val="10"/>
      <name val="Arial"/>
      <family val="2"/>
    </font>
    <font>
      <sz val="10"/>
      <name val="Verdana"/>
      <family val="2"/>
    </font>
    <font>
      <sz val="8"/>
      <name val="Verdana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color indexed="55"/>
      <name val="Arial"/>
      <family val="2"/>
    </font>
    <font>
      <b/>
      <sz val="12"/>
      <color indexed="55"/>
      <name val="Arial"/>
      <family val="2"/>
    </font>
    <font>
      <b/>
      <sz val="8"/>
      <name val="Arial"/>
      <family val="2"/>
    </font>
    <font>
      <u/>
      <sz val="10"/>
      <name val="Arial"/>
      <family val="2"/>
    </font>
    <font>
      <sz val="8"/>
      <color indexed="12"/>
      <name val="Arial"/>
      <family val="2"/>
    </font>
    <font>
      <b/>
      <sz val="12"/>
      <color indexed="23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sz val="8"/>
      <color indexed="12"/>
      <name val="CG Times (W1)"/>
      <family val="1"/>
    </font>
    <font>
      <sz val="14"/>
      <name val="Cordia New"/>
      <family val="2"/>
    </font>
    <font>
      <sz val="10"/>
      <color indexed="8"/>
      <name val="Arial"/>
      <family val="2"/>
    </font>
    <font>
      <sz val="10"/>
      <color indexed="23"/>
      <name val="Arial"/>
      <family val="2"/>
    </font>
    <font>
      <sz val="10"/>
      <color indexed="8"/>
      <name val="Arial"/>
      <family val="2"/>
    </font>
    <font>
      <sz val="8"/>
      <color indexed="23"/>
      <name val="Arial"/>
      <family val="2"/>
    </font>
    <font>
      <b/>
      <sz val="14"/>
      <color indexed="10"/>
      <name val="Arial"/>
      <family val="2"/>
    </font>
    <font>
      <b/>
      <sz val="14"/>
      <color indexed="17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indexed="9"/>
      <name val="Arial"/>
      <family val="2"/>
    </font>
    <font>
      <sz val="9"/>
      <color indexed="3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Arial"/>
    </font>
  </fonts>
  <fills count="15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23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/>
    <xf numFmtId="171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23" fillId="0" borderId="2" applyNumberFormat="0" applyFont="0" applyAlignment="0" applyProtection="0">
      <alignment horizontal="center"/>
      <protection locked="0"/>
    </xf>
    <xf numFmtId="0" fontId="9" fillId="0" borderId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4" fillId="0" borderId="0"/>
  </cellStyleXfs>
  <cellXfs count="284">
    <xf numFmtId="0" fontId="0" fillId="0" borderId="0" xfId="0"/>
    <xf numFmtId="0" fontId="2" fillId="0" borderId="0" xfId="0" applyFont="1"/>
    <xf numFmtId="16" fontId="3" fillId="0" borderId="0" xfId="0" applyNumberFormat="1" applyFont="1"/>
    <xf numFmtId="0" fontId="3" fillId="0" borderId="0" xfId="0" applyFont="1" applyAlignment="1">
      <alignment horizontal="right"/>
    </xf>
    <xf numFmtId="0" fontId="4" fillId="0" borderId="0" xfId="0" applyFont="1"/>
    <xf numFmtId="3" fontId="5" fillId="0" borderId="0" xfId="0" applyNumberFormat="1" applyFont="1"/>
    <xf numFmtId="3" fontId="0" fillId="0" borderId="0" xfId="0" applyNumberFormat="1"/>
    <xf numFmtId="0" fontId="3" fillId="0" borderId="0" xfId="0" applyFont="1"/>
    <xf numFmtId="180" fontId="3" fillId="0" borderId="0" xfId="8" applyNumberFormat="1" applyFont="1" applyAlignment="1">
      <alignment horizontal="right"/>
    </xf>
    <xf numFmtId="0" fontId="7" fillId="0" borderId="0" xfId="0" applyFont="1"/>
    <xf numFmtId="17" fontId="0" fillId="0" borderId="0" xfId="0" applyNumberFormat="1"/>
    <xf numFmtId="16" fontId="0" fillId="0" borderId="0" xfId="0" applyNumberFormat="1"/>
    <xf numFmtId="1" fontId="1" fillId="0" borderId="0" xfId="8" applyNumberFormat="1"/>
    <xf numFmtId="1" fontId="1" fillId="0" borderId="0" xfId="8" applyNumberFormat="1" applyFont="1"/>
    <xf numFmtId="180" fontId="7" fillId="0" borderId="0" xfId="8" applyNumberFormat="1" applyFont="1" applyAlignment="1">
      <alignment horizontal="right"/>
    </xf>
    <xf numFmtId="16" fontId="7" fillId="0" borderId="0" xfId="0" applyNumberFormat="1" applyFont="1"/>
    <xf numFmtId="0" fontId="0" fillId="0" borderId="0" xfId="0" applyFill="1" applyBorder="1"/>
    <xf numFmtId="0" fontId="0" fillId="0" borderId="0" xfId="0" applyFill="1"/>
    <xf numFmtId="3" fontId="0" fillId="0" borderId="0" xfId="0" applyNumberFormat="1" applyFill="1"/>
    <xf numFmtId="16" fontId="3" fillId="0" borderId="0" xfId="0" applyNumberFormat="1" applyFont="1" applyFill="1" applyBorder="1"/>
    <xf numFmtId="0" fontId="3" fillId="0" borderId="0" xfId="0" applyFont="1" applyFill="1" applyBorder="1" applyAlignment="1">
      <alignment horizontal="right"/>
    </xf>
    <xf numFmtId="3" fontId="9" fillId="0" borderId="0" xfId="5" applyNumberFormat="1" applyFill="1" applyBorder="1"/>
    <xf numFmtId="3" fontId="9" fillId="0" borderId="0" xfId="5" applyNumberFormat="1" applyFont="1" applyFill="1" applyBorder="1"/>
    <xf numFmtId="3" fontId="5" fillId="0" borderId="0" xfId="0" applyNumberFormat="1" applyFont="1" applyFill="1" applyBorder="1"/>
    <xf numFmtId="3" fontId="0" fillId="0" borderId="0" xfId="0" applyNumberFormat="1" applyFill="1" applyBorder="1"/>
    <xf numFmtId="0" fontId="3" fillId="0" borderId="0" xfId="0" applyFont="1" applyFill="1" applyBorder="1"/>
    <xf numFmtId="0" fontId="10" fillId="0" borderId="0" xfId="0" applyFont="1" applyFill="1" applyBorder="1"/>
    <xf numFmtId="180" fontId="7" fillId="0" borderId="1" xfId="8" applyNumberFormat="1" applyFont="1" applyFill="1" applyBorder="1"/>
    <xf numFmtId="10" fontId="7" fillId="0" borderId="0" xfId="8" applyNumberFormat="1" applyFont="1" applyFill="1"/>
    <xf numFmtId="10" fontId="7" fillId="0" borderId="1" xfId="8" applyNumberFormat="1" applyFont="1" applyFill="1" applyBorder="1"/>
    <xf numFmtId="0" fontId="7" fillId="0" borderId="0" xfId="7" applyFont="1" applyFill="1"/>
    <xf numFmtId="0" fontId="3" fillId="0" borderId="1" xfId="7" applyFont="1" applyFill="1" applyBorder="1"/>
    <xf numFmtId="0" fontId="3" fillId="0" borderId="0" xfId="7" applyFont="1" applyFill="1"/>
    <xf numFmtId="0" fontId="7" fillId="0" borderId="1" xfId="7" applyFont="1" applyFill="1" applyBorder="1"/>
    <xf numFmtId="0" fontId="7" fillId="0" borderId="4" xfId="7" applyFont="1" applyFill="1" applyBorder="1"/>
    <xf numFmtId="0" fontId="7" fillId="0" borderId="0" xfId="7" applyFont="1" applyFill="1" applyBorder="1"/>
    <xf numFmtId="181" fontId="7" fillId="0" borderId="0" xfId="7" applyNumberFormat="1" applyFont="1" applyFill="1" applyBorder="1" applyAlignment="1">
      <alignment wrapText="1"/>
    </xf>
    <xf numFmtId="0" fontId="7" fillId="0" borderId="1" xfId="7" applyFont="1" applyFill="1" applyBorder="1" applyAlignment="1">
      <alignment wrapText="1"/>
    </xf>
    <xf numFmtId="0" fontId="7" fillId="0" borderId="1" xfId="7" applyFont="1" applyFill="1" applyBorder="1" applyAlignment="1">
      <alignment textRotation="90"/>
    </xf>
    <xf numFmtId="0" fontId="7" fillId="0" borderId="5" xfId="7" applyFont="1" applyFill="1" applyBorder="1"/>
    <xf numFmtId="3" fontId="7" fillId="0" borderId="1" xfId="7" applyNumberFormat="1" applyFont="1" applyFill="1" applyBorder="1"/>
    <xf numFmtId="0" fontId="3" fillId="0" borderId="6" xfId="7" applyFont="1" applyFill="1" applyBorder="1" applyAlignment="1">
      <alignment horizontal="center"/>
    </xf>
    <xf numFmtId="0" fontId="3" fillId="0" borderId="7" xfId="7" applyFont="1" applyFill="1" applyBorder="1"/>
    <xf numFmtId="0" fontId="3" fillId="0" borderId="5" xfId="7" applyFont="1" applyFill="1" applyBorder="1"/>
    <xf numFmtId="0" fontId="3" fillId="0" borderId="8" xfId="7" applyFont="1" applyFill="1" applyBorder="1" applyAlignment="1">
      <alignment horizontal="center"/>
    </xf>
    <xf numFmtId="0" fontId="3" fillId="0" borderId="9" xfId="7" applyFont="1" applyFill="1" applyBorder="1"/>
    <xf numFmtId="16" fontId="3" fillId="0" borderId="10" xfId="0" applyNumberFormat="1" applyFont="1" applyBorder="1"/>
    <xf numFmtId="0" fontId="7" fillId="0" borderId="9" xfId="7" applyFont="1" applyFill="1" applyBorder="1"/>
    <xf numFmtId="0" fontId="0" fillId="0" borderId="1" xfId="0" applyBorder="1" applyAlignment="1">
      <alignment horizontal="center"/>
    </xf>
    <xf numFmtId="16" fontId="3" fillId="0" borderId="1" xfId="0" applyNumberFormat="1" applyFont="1" applyBorder="1"/>
    <xf numFmtId="0" fontId="7" fillId="0" borderId="7" xfId="7" applyFont="1" applyFill="1" applyBorder="1"/>
    <xf numFmtId="9" fontId="7" fillId="0" borderId="1" xfId="8" applyFont="1" applyFill="1" applyBorder="1"/>
    <xf numFmtId="0" fontId="3" fillId="0" borderId="11" xfId="7" applyFont="1" applyFill="1" applyBorder="1"/>
    <xf numFmtId="0" fontId="3" fillId="0" borderId="4" xfId="7" applyFont="1" applyFill="1" applyBorder="1"/>
    <xf numFmtId="0" fontId="0" fillId="2" borderId="0" xfId="0" applyFill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horizontal="right"/>
    </xf>
    <xf numFmtId="180" fontId="3" fillId="3" borderId="0" xfId="8" applyNumberFormat="1" applyFont="1" applyFill="1" applyAlignment="1">
      <alignment horizontal="right"/>
    </xf>
    <xf numFmtId="180" fontId="3" fillId="4" borderId="0" xfId="8" applyNumberFormat="1" applyFont="1" applyFill="1" applyAlignment="1">
      <alignment horizontal="right"/>
    </xf>
    <xf numFmtId="16" fontId="3" fillId="2" borderId="0" xfId="0" applyNumberFormat="1" applyFont="1" applyFill="1" applyAlignment="1">
      <alignment horizontal="center"/>
    </xf>
    <xf numFmtId="0" fontId="3" fillId="4" borderId="0" xfId="0" applyFont="1" applyFill="1"/>
    <xf numFmtId="0" fontId="3" fillId="0" borderId="0" xfId="0" applyFont="1" applyFill="1"/>
    <xf numFmtId="0" fontId="3" fillId="0" borderId="12" xfId="0" applyFont="1" applyFill="1" applyBorder="1"/>
    <xf numFmtId="180" fontId="3" fillId="3" borderId="12" xfId="8" applyNumberFormat="1" applyFont="1" applyFill="1" applyBorder="1" applyAlignment="1">
      <alignment horizontal="right"/>
    </xf>
    <xf numFmtId="0" fontId="0" fillId="0" borderId="0" xfId="0" applyBorder="1"/>
    <xf numFmtId="3" fontId="0" fillId="0" borderId="0" xfId="0" applyNumberFormat="1" applyBorder="1"/>
    <xf numFmtId="0" fontId="3" fillId="4" borderId="12" xfId="0" applyFont="1" applyFill="1" applyBorder="1"/>
    <xf numFmtId="180" fontId="3" fillId="4" borderId="12" xfId="8" applyNumberFormat="1" applyFont="1" applyFill="1" applyBorder="1" applyAlignment="1">
      <alignment horizontal="right"/>
    </xf>
    <xf numFmtId="10" fontId="7" fillId="0" borderId="13" xfId="8" applyNumberFormat="1" applyFont="1" applyFill="1" applyBorder="1"/>
    <xf numFmtId="0" fontId="7" fillId="0" borderId="11" xfId="7" applyFont="1" applyFill="1" applyBorder="1" applyAlignment="1">
      <alignment wrapText="1"/>
    </xf>
    <xf numFmtId="0" fontId="17" fillId="0" borderId="0" xfId="0" applyFont="1" applyAlignment="1">
      <alignment horizontal="center"/>
    </xf>
    <xf numFmtId="16" fontId="3" fillId="0" borderId="0" xfId="0" applyNumberFormat="1" applyFont="1" applyAlignment="1">
      <alignment horizontal="center"/>
    </xf>
    <xf numFmtId="0" fontId="17" fillId="0" borderId="0" xfId="0" quotePrefix="1" applyFont="1" applyAlignment="1">
      <alignment horizontal="center"/>
    </xf>
    <xf numFmtId="0" fontId="3" fillId="0" borderId="0" xfId="0" applyFont="1" applyAlignment="1">
      <alignment horizontal="center"/>
    </xf>
    <xf numFmtId="10" fontId="7" fillId="0" borderId="0" xfId="7" applyNumberFormat="1" applyFont="1" applyFill="1"/>
    <xf numFmtId="0" fontId="18" fillId="0" borderId="0" xfId="7" applyFont="1" applyFill="1"/>
    <xf numFmtId="0" fontId="19" fillId="0" borderId="0" xfId="7" applyFont="1" applyFill="1"/>
    <xf numFmtId="3" fontId="5" fillId="0" borderId="0" xfId="0" applyNumberFormat="1" applyFont="1" applyFill="1"/>
    <xf numFmtId="169" fontId="9" fillId="0" borderId="0" xfId="5" applyNumberFormat="1" applyFont="1" applyFill="1" applyBorder="1"/>
    <xf numFmtId="0" fontId="8" fillId="0" borderId="0" xfId="3" applyFill="1" applyAlignment="1" applyProtection="1"/>
    <xf numFmtId="0" fontId="3" fillId="0" borderId="1" xfId="0" applyFont="1" applyBorder="1" applyAlignment="1">
      <alignment horizontal="center"/>
    </xf>
    <xf numFmtId="0" fontId="8" fillId="0" borderId="0" xfId="3" applyAlignment="1" applyProtection="1"/>
    <xf numFmtId="184" fontId="7" fillId="0" borderId="0" xfId="0" applyNumberFormat="1" applyFont="1"/>
    <xf numFmtId="184" fontId="7" fillId="0" borderId="0" xfId="0" applyNumberFormat="1" applyFont="1" applyBorder="1"/>
    <xf numFmtId="0" fontId="3" fillId="0" borderId="10" xfId="0" applyFont="1" applyFill="1" applyBorder="1" applyAlignment="1">
      <alignment horizontal="center"/>
    </xf>
    <xf numFmtId="0" fontId="3" fillId="0" borderId="3" xfId="0" applyFont="1" applyBorder="1"/>
    <xf numFmtId="17" fontId="3" fillId="0" borderId="3" xfId="0" applyNumberFormat="1" applyFont="1" applyBorder="1"/>
    <xf numFmtId="3" fontId="3" fillId="0" borderId="0" xfId="0" applyNumberFormat="1" applyFont="1"/>
    <xf numFmtId="3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3" fontId="7" fillId="0" borderId="5" xfId="7" applyNumberFormat="1" applyFont="1" applyFill="1" applyBorder="1"/>
    <xf numFmtId="3" fontId="5" fillId="0" borderId="0" xfId="0" applyNumberFormat="1" applyFont="1" applyAlignment="1">
      <alignment horizontal="right"/>
    </xf>
    <xf numFmtId="180" fontId="3" fillId="5" borderId="0" xfId="8" applyNumberFormat="1" applyFont="1" applyFill="1"/>
    <xf numFmtId="0" fontId="7" fillId="0" borderId="5" xfId="7" applyFont="1" applyFill="1" applyBorder="1" applyAlignment="1">
      <alignment wrapText="1"/>
    </xf>
    <xf numFmtId="10" fontId="7" fillId="0" borderId="4" xfId="8" applyNumberFormat="1" applyFont="1" applyFill="1" applyBorder="1"/>
    <xf numFmtId="0" fontId="7" fillId="0" borderId="0" xfId="7" applyFont="1" applyFill="1" applyBorder="1" applyAlignment="1">
      <alignment textRotation="90"/>
    </xf>
    <xf numFmtId="10" fontId="7" fillId="0" borderId="0" xfId="8" applyNumberFormat="1" applyFont="1" applyFill="1" applyBorder="1"/>
    <xf numFmtId="0" fontId="7" fillId="6" borderId="1" xfId="0" applyFont="1" applyFill="1" applyBorder="1" applyAlignment="1">
      <alignment horizontal="left" textRotation="90"/>
    </xf>
    <xf numFmtId="0" fontId="0" fillId="0" borderId="0" xfId="0" applyBorder="1" applyAlignment="1">
      <alignment horizontal="center"/>
    </xf>
    <xf numFmtId="16" fontId="3" fillId="0" borderId="0" xfId="0" applyNumberFormat="1" applyFont="1" applyBorder="1"/>
    <xf numFmtId="10" fontId="6" fillId="0" borderId="1" xfId="8" applyNumberFormat="1" applyFont="1" applyFill="1" applyBorder="1"/>
    <xf numFmtId="184" fontId="6" fillId="0" borderId="0" xfId="0" applyNumberFormat="1" applyFont="1"/>
    <xf numFmtId="184" fontId="6" fillId="0" borderId="0" xfId="0" applyNumberFormat="1" applyFont="1" applyBorder="1"/>
    <xf numFmtId="180" fontId="6" fillId="0" borderId="0" xfId="8" applyNumberFormat="1" applyFont="1" applyAlignment="1">
      <alignment horizontal="right"/>
    </xf>
    <xf numFmtId="0" fontId="0" fillId="6" borderId="0" xfId="0" applyFill="1"/>
    <xf numFmtId="0" fontId="0" fillId="6" borderId="14" xfId="0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10" fontId="13" fillId="6" borderId="10" xfId="0" applyNumberFormat="1" applyFont="1" applyFill="1" applyBorder="1" applyAlignment="1">
      <alignment horizontal="center" vertical="center" wrapText="1"/>
    </xf>
    <xf numFmtId="0" fontId="13" fillId="6" borderId="16" xfId="0" applyFont="1" applyFill="1" applyBorder="1" applyAlignment="1">
      <alignment horizontal="left" vertical="center" wrapText="1"/>
    </xf>
    <xf numFmtId="0" fontId="20" fillId="6" borderId="17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1" fontId="1" fillId="0" borderId="0" xfId="8" applyNumberFormat="1" applyAlignment="1">
      <alignment horizontal="center"/>
    </xf>
    <xf numFmtId="1" fontId="3" fillId="0" borderId="3" xfId="8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5" fillId="6" borderId="18" xfId="0" applyFont="1" applyFill="1" applyBorder="1" applyAlignment="1">
      <alignment horizontal="center" vertical="center" wrapText="1"/>
    </xf>
    <xf numFmtId="10" fontId="20" fillId="6" borderId="10" xfId="0" applyNumberFormat="1" applyFont="1" applyFill="1" applyBorder="1" applyAlignment="1">
      <alignment horizontal="center" vertical="center" wrapText="1"/>
    </xf>
    <xf numFmtId="180" fontId="16" fillId="6" borderId="19" xfId="0" applyNumberFormat="1" applyFont="1" applyFill="1" applyBorder="1" applyAlignment="1">
      <alignment horizontal="center" vertical="center" wrapText="1"/>
    </xf>
    <xf numFmtId="0" fontId="16" fillId="6" borderId="20" xfId="0" applyFont="1" applyFill="1" applyBorder="1" applyAlignment="1">
      <alignment horizontal="center" vertical="center" wrapText="1"/>
    </xf>
    <xf numFmtId="0" fontId="7" fillId="0" borderId="5" xfId="7" applyFont="1" applyFill="1" applyBorder="1" applyAlignment="1">
      <alignment textRotation="90"/>
    </xf>
    <xf numFmtId="10" fontId="7" fillId="0" borderId="5" xfId="8" applyNumberFormat="1" applyFont="1" applyFill="1" applyBorder="1"/>
    <xf numFmtId="10" fontId="6" fillId="0" borderId="5" xfId="8" applyNumberFormat="1" applyFont="1" applyFill="1" applyBorder="1"/>
    <xf numFmtId="10" fontId="7" fillId="6" borderId="5" xfId="8" applyNumberFormat="1" applyFont="1" applyFill="1" applyBorder="1"/>
    <xf numFmtId="0" fontId="26" fillId="0" borderId="1" xfId="7" applyFont="1" applyFill="1" applyBorder="1"/>
    <xf numFmtId="10" fontId="26" fillId="0" borderId="1" xfId="8" applyNumberFormat="1" applyFont="1" applyFill="1" applyBorder="1"/>
    <xf numFmtId="0" fontId="27" fillId="0" borderId="1" xfId="7" applyFont="1" applyFill="1" applyBorder="1" applyAlignment="1">
      <alignment textRotation="90"/>
    </xf>
    <xf numFmtId="10" fontId="7" fillId="0" borderId="1" xfId="8" applyNumberFormat="1" applyFont="1" applyFill="1" applyBorder="1" applyAlignment="1">
      <alignment horizontal="right"/>
    </xf>
    <xf numFmtId="194" fontId="7" fillId="0" borderId="0" xfId="7" applyNumberFormat="1" applyFont="1" applyFill="1"/>
    <xf numFmtId="10" fontId="7" fillId="6" borderId="4" xfId="8" applyNumberFormat="1" applyFont="1" applyFill="1" applyBorder="1"/>
    <xf numFmtId="16" fontId="3" fillId="0" borderId="5" xfId="0" applyNumberFormat="1" applyFont="1" applyBorder="1"/>
    <xf numFmtId="182" fontId="31" fillId="3" borderId="21" xfId="1" applyNumberFormat="1" applyFont="1" applyFill="1" applyBorder="1"/>
    <xf numFmtId="182" fontId="31" fillId="3" borderId="22" xfId="1" applyNumberFormat="1" applyFont="1" applyFill="1" applyBorder="1"/>
    <xf numFmtId="186" fontId="31" fillId="4" borderId="10" xfId="2" applyNumberFormat="1" applyFont="1" applyFill="1" applyBorder="1"/>
    <xf numFmtId="186" fontId="31" fillId="4" borderId="19" xfId="2" applyNumberFormat="1" applyFont="1" applyFill="1" applyBorder="1"/>
    <xf numFmtId="185" fontId="31" fillId="3" borderId="10" xfId="2" applyNumberFormat="1" applyFont="1" applyFill="1" applyBorder="1"/>
    <xf numFmtId="185" fontId="31" fillId="4" borderId="10" xfId="2" applyNumberFormat="1" applyFont="1" applyFill="1" applyBorder="1"/>
    <xf numFmtId="185" fontId="31" fillId="3" borderId="23" xfId="2" applyNumberFormat="1" applyFont="1" applyFill="1" applyBorder="1"/>
    <xf numFmtId="186" fontId="31" fillId="4" borderId="23" xfId="2" applyNumberFormat="1" applyFont="1" applyFill="1" applyBorder="1"/>
    <xf numFmtId="186" fontId="31" fillId="4" borderId="24" xfId="2" applyNumberFormat="1" applyFont="1" applyFill="1" applyBorder="1"/>
    <xf numFmtId="186" fontId="31" fillId="4" borderId="15" xfId="2" applyNumberFormat="1" applyFont="1" applyFill="1" applyBorder="1"/>
    <xf numFmtId="186" fontId="31" fillId="4" borderId="18" xfId="2" applyNumberFormat="1" applyFont="1" applyFill="1" applyBorder="1"/>
    <xf numFmtId="182" fontId="31" fillId="3" borderId="10" xfId="1" applyNumberFormat="1" applyFont="1" applyFill="1" applyBorder="1"/>
    <xf numFmtId="182" fontId="31" fillId="3" borderId="19" xfId="1" applyNumberFormat="1" applyFont="1" applyFill="1" applyBorder="1"/>
    <xf numFmtId="180" fontId="31" fillId="4" borderId="10" xfId="9" applyNumberFormat="1" applyFont="1" applyFill="1" applyBorder="1"/>
    <xf numFmtId="1" fontId="31" fillId="3" borderId="10" xfId="2" applyNumberFormat="1" applyFont="1" applyFill="1" applyBorder="1"/>
    <xf numFmtId="1" fontId="31" fillId="4" borderId="10" xfId="2" applyNumberFormat="1" applyFont="1" applyFill="1" applyBorder="1"/>
    <xf numFmtId="0" fontId="31" fillId="4" borderId="10" xfId="2" applyNumberFormat="1" applyFont="1" applyFill="1" applyBorder="1" applyAlignment="1">
      <alignment horizontal="center" vertical="center"/>
    </xf>
    <xf numFmtId="186" fontId="31" fillId="3" borderId="10" xfId="2" applyNumberFormat="1" applyFont="1" applyFill="1" applyBorder="1"/>
    <xf numFmtId="187" fontId="31" fillId="4" borderId="10" xfId="2" applyNumberFormat="1" applyFont="1" applyFill="1" applyBorder="1"/>
    <xf numFmtId="37" fontId="31" fillId="4" borderId="17" xfId="2" applyNumberFormat="1" applyFont="1" applyFill="1" applyBorder="1"/>
    <xf numFmtId="186" fontId="31" fillId="4" borderId="20" xfId="2" applyNumberFormat="1" applyFont="1" applyFill="1" applyBorder="1"/>
    <xf numFmtId="182" fontId="31" fillId="3" borderId="25" xfId="1" applyNumberFormat="1" applyFont="1" applyFill="1" applyBorder="1"/>
    <xf numFmtId="182" fontId="31" fillId="3" borderId="26" xfId="1" applyNumberFormat="1" applyFont="1" applyFill="1" applyBorder="1"/>
    <xf numFmtId="37" fontId="31" fillId="4" borderId="27" xfId="2" applyNumberFormat="1" applyFont="1" applyFill="1" applyBorder="1"/>
    <xf numFmtId="186" fontId="31" fillId="4" borderId="28" xfId="2" applyNumberFormat="1" applyFont="1" applyFill="1" applyBorder="1"/>
    <xf numFmtId="182" fontId="31" fillId="3" borderId="29" xfId="1" applyNumberFormat="1" applyFont="1" applyFill="1" applyBorder="1"/>
    <xf numFmtId="182" fontId="31" fillId="3" borderId="30" xfId="1" applyNumberFormat="1" applyFont="1" applyFill="1" applyBorder="1"/>
    <xf numFmtId="9" fontId="31" fillId="4" borderId="31" xfId="9" applyFont="1" applyFill="1" applyBorder="1"/>
    <xf numFmtId="1" fontId="31" fillId="4" borderId="32" xfId="2" applyNumberFormat="1" applyFont="1" applyFill="1" applyBorder="1"/>
    <xf numFmtId="182" fontId="31" fillId="3" borderId="33" xfId="1" applyNumberFormat="1" applyFont="1" applyFill="1" applyBorder="1"/>
    <xf numFmtId="1" fontId="31" fillId="3" borderId="10" xfId="2" applyNumberFormat="1" applyFont="1" applyFill="1" applyBorder="1" applyAlignment="1">
      <alignment horizontal="right"/>
    </xf>
    <xf numFmtId="0" fontId="31" fillId="4" borderId="10" xfId="2" applyNumberFormat="1" applyFont="1" applyFill="1" applyBorder="1" applyAlignment="1">
      <alignment horizontal="right" vertical="center"/>
    </xf>
    <xf numFmtId="182" fontId="31" fillId="4" borderId="10" xfId="1" applyNumberFormat="1" applyFont="1" applyFill="1" applyBorder="1"/>
    <xf numFmtId="193" fontId="31" fillId="7" borderId="0" xfId="1" applyNumberFormat="1" applyFont="1" applyFill="1" applyAlignment="1">
      <alignment horizontal="right"/>
    </xf>
    <xf numFmtId="193" fontId="31" fillId="8" borderId="0" xfId="1" applyNumberFormat="1" applyFont="1" applyFill="1" applyAlignment="1">
      <alignment horizontal="right"/>
    </xf>
    <xf numFmtId="10" fontId="31" fillId="0" borderId="0" xfId="9" applyNumberFormat="1" applyFont="1"/>
    <xf numFmtId="9" fontId="31" fillId="0" borderId="0" xfId="9" applyNumberFormat="1" applyFont="1"/>
    <xf numFmtId="180" fontId="31" fillId="7" borderId="0" xfId="9" applyNumberFormat="1" applyFont="1" applyFill="1" applyAlignment="1">
      <alignment horizontal="right"/>
    </xf>
    <xf numFmtId="10" fontId="31" fillId="8" borderId="0" xfId="9" applyNumberFormat="1" applyFont="1" applyFill="1" applyAlignment="1">
      <alignment horizontal="right"/>
    </xf>
    <xf numFmtId="193" fontId="31" fillId="6" borderId="0" xfId="1" applyNumberFormat="1" applyFont="1" applyFill="1" applyAlignment="1">
      <alignment horizontal="right"/>
    </xf>
    <xf numFmtId="186" fontId="31" fillId="3" borderId="23" xfId="2" applyNumberFormat="1" applyFont="1" applyFill="1" applyBorder="1"/>
    <xf numFmtId="180" fontId="31" fillId="4" borderId="31" xfId="9" applyNumberFormat="1" applyFont="1" applyFill="1" applyBorder="1"/>
    <xf numFmtId="180" fontId="31" fillId="6" borderId="0" xfId="9" applyNumberFormat="1" applyFont="1" applyFill="1" applyAlignment="1">
      <alignment horizontal="right"/>
    </xf>
    <xf numFmtId="10" fontId="31" fillId="0" borderId="0" xfId="9" applyNumberFormat="1" applyFont="1" applyAlignment="1">
      <alignment horizontal="right"/>
    </xf>
    <xf numFmtId="0" fontId="31" fillId="0" borderId="0" xfId="9" applyNumberFormat="1" applyFont="1" applyAlignment="1">
      <alignment horizontal="right"/>
    </xf>
    <xf numFmtId="10" fontId="7" fillId="0" borderId="1" xfId="8" applyNumberFormat="1" applyFont="1" applyFill="1" applyBorder="1" applyAlignment="1">
      <alignment horizontal="center"/>
    </xf>
    <xf numFmtId="0" fontId="7" fillId="6" borderId="1" xfId="7" applyFont="1" applyFill="1" applyBorder="1" applyAlignment="1">
      <alignment textRotation="90"/>
    </xf>
    <xf numFmtId="10" fontId="6" fillId="6" borderId="1" xfId="8" applyNumberFormat="1" applyFont="1" applyFill="1" applyBorder="1"/>
    <xf numFmtId="10" fontId="7" fillId="6" borderId="1" xfId="8" applyNumberFormat="1" applyFont="1" applyFill="1" applyBorder="1"/>
    <xf numFmtId="1" fontId="13" fillId="6" borderId="17" xfId="0" applyNumberFormat="1" applyFont="1" applyFill="1" applyBorder="1" applyAlignment="1">
      <alignment horizontal="center" vertical="center" wrapText="1"/>
    </xf>
    <xf numFmtId="0" fontId="4" fillId="9" borderId="0" xfId="7" applyFont="1" applyFill="1"/>
    <xf numFmtId="0" fontId="7" fillId="9" borderId="0" xfId="7" applyFont="1" applyFill="1"/>
    <xf numFmtId="0" fontId="4" fillId="10" borderId="0" xfId="7" applyFont="1" applyFill="1"/>
    <xf numFmtId="0" fontId="7" fillId="10" borderId="0" xfId="7" applyFont="1" applyFill="1"/>
    <xf numFmtId="0" fontId="7" fillId="0" borderId="34" xfId="0" applyFont="1" applyFill="1" applyBorder="1" applyAlignment="1" applyProtection="1">
      <alignment horizontal="center" textRotation="90"/>
    </xf>
    <xf numFmtId="0" fontId="7" fillId="0" borderId="34" xfId="7" applyFont="1" applyFill="1" applyBorder="1" applyAlignment="1">
      <alignment textRotation="90"/>
    </xf>
    <xf numFmtId="0" fontId="7" fillId="6" borderId="34" xfId="7" applyFont="1" applyFill="1" applyBorder="1" applyAlignment="1">
      <alignment textRotation="90"/>
    </xf>
    <xf numFmtId="0" fontId="7" fillId="0" borderId="34" xfId="7" applyFont="1" applyFill="1" applyBorder="1"/>
    <xf numFmtId="10" fontId="7" fillId="0" borderId="34" xfId="8" applyNumberFormat="1" applyFont="1" applyFill="1" applyBorder="1"/>
    <xf numFmtId="10" fontId="7" fillId="6" borderId="34" xfId="8" applyNumberFormat="1" applyFont="1" applyFill="1" applyBorder="1"/>
    <xf numFmtId="0" fontId="3" fillId="0" borderId="35" xfId="6" applyFont="1" applyBorder="1" applyAlignment="1">
      <alignment horizontal="center"/>
    </xf>
    <xf numFmtId="0" fontId="4" fillId="0" borderId="35" xfId="6" applyFont="1" applyFill="1" applyBorder="1" applyAlignment="1"/>
    <xf numFmtId="0" fontId="31" fillId="0" borderId="0" xfId="6" applyFont="1"/>
    <xf numFmtId="0" fontId="31" fillId="0" borderId="0" xfId="6" applyFont="1" applyBorder="1"/>
    <xf numFmtId="0" fontId="31" fillId="3" borderId="36" xfId="6" applyFont="1" applyFill="1" applyBorder="1" applyAlignment="1">
      <alignment horizontal="center" wrapText="1"/>
    </xf>
    <xf numFmtId="0" fontId="31" fillId="3" borderId="37" xfId="6" applyFont="1" applyFill="1" applyBorder="1" applyAlignment="1">
      <alignment horizontal="center" wrapText="1"/>
    </xf>
    <xf numFmtId="0" fontId="31" fillId="3" borderId="35" xfId="6" applyFont="1" applyFill="1" applyBorder="1" applyAlignment="1">
      <alignment horizontal="center" wrapText="1"/>
    </xf>
    <xf numFmtId="0" fontId="32" fillId="3" borderId="21" xfId="6" applyFont="1" applyFill="1" applyBorder="1" applyAlignment="1">
      <alignment horizontal="left"/>
    </xf>
    <xf numFmtId="0" fontId="32" fillId="4" borderId="38" xfId="6" applyFont="1" applyFill="1" applyBorder="1" applyAlignment="1">
      <alignment horizontal="left"/>
    </xf>
    <xf numFmtId="0" fontId="32" fillId="3" borderId="38" xfId="6" applyFont="1" applyFill="1" applyBorder="1" applyAlignment="1">
      <alignment horizontal="left"/>
    </xf>
    <xf numFmtId="0" fontId="31" fillId="0" borderId="19" xfId="6" applyFont="1" applyBorder="1"/>
    <xf numFmtId="0" fontId="32" fillId="4" borderId="16" xfId="6" applyFont="1" applyFill="1" applyBorder="1" applyAlignment="1">
      <alignment horizontal="left"/>
    </xf>
    <xf numFmtId="0" fontId="31" fillId="4" borderId="19" xfId="6" applyFont="1" applyFill="1" applyBorder="1"/>
    <xf numFmtId="0" fontId="31" fillId="0" borderId="24" xfId="6" applyFont="1" applyBorder="1"/>
    <xf numFmtId="0" fontId="31" fillId="4" borderId="24" xfId="6" applyFont="1" applyFill="1" applyBorder="1"/>
    <xf numFmtId="0" fontId="32" fillId="4" borderId="39" xfId="6" applyFont="1" applyFill="1" applyBorder="1" applyAlignment="1">
      <alignment horizontal="left"/>
    </xf>
    <xf numFmtId="0" fontId="32" fillId="4" borderId="14" xfId="6" applyFont="1" applyFill="1" applyBorder="1" applyAlignment="1">
      <alignment horizontal="left"/>
    </xf>
    <xf numFmtId="0" fontId="32" fillId="3" borderId="40" xfId="6" applyFont="1" applyFill="1" applyBorder="1" applyAlignment="1">
      <alignment horizontal="left"/>
    </xf>
    <xf numFmtId="0" fontId="32" fillId="4" borderId="27" xfId="6" applyFont="1" applyFill="1" applyBorder="1" applyAlignment="1">
      <alignment horizontal="left"/>
    </xf>
    <xf numFmtId="182" fontId="31" fillId="3" borderId="10" xfId="6" applyNumberFormat="1" applyFont="1" applyFill="1" applyBorder="1"/>
    <xf numFmtId="0" fontId="31" fillId="3" borderId="31" xfId="6" applyFont="1" applyFill="1" applyBorder="1"/>
    <xf numFmtId="0" fontId="31" fillId="3" borderId="10" xfId="6" applyFont="1" applyFill="1" applyBorder="1" applyAlignment="1">
      <alignment horizontal="right"/>
    </xf>
    <xf numFmtId="0" fontId="31" fillId="3" borderId="31" xfId="6" applyFont="1" applyFill="1" applyBorder="1" applyAlignment="1">
      <alignment horizontal="right"/>
    </xf>
    <xf numFmtId="0" fontId="33" fillId="11" borderId="36" xfId="6" applyFont="1" applyFill="1" applyBorder="1" applyAlignment="1">
      <alignment horizontal="left"/>
    </xf>
    <xf numFmtId="1" fontId="33" fillId="11" borderId="36" xfId="6" applyNumberFormat="1" applyFont="1" applyFill="1" applyBorder="1"/>
    <xf numFmtId="186" fontId="33" fillId="5" borderId="22" xfId="6" applyNumberFormat="1" applyFont="1" applyFill="1" applyBorder="1"/>
    <xf numFmtId="0" fontId="31" fillId="0" borderId="10" xfId="6" applyFont="1" applyBorder="1"/>
    <xf numFmtId="186" fontId="31" fillId="0" borderId="10" xfId="6" applyNumberFormat="1" applyFont="1" applyBorder="1"/>
    <xf numFmtId="182" fontId="31" fillId="0" borderId="10" xfId="6" applyNumberFormat="1" applyFont="1" applyBorder="1"/>
    <xf numFmtId="0" fontId="31" fillId="0" borderId="0" xfId="6" applyFont="1" applyAlignment="1">
      <alignment horizontal="right"/>
    </xf>
    <xf numFmtId="182" fontId="31" fillId="0" borderId="0" xfId="6" applyNumberFormat="1" applyFont="1"/>
    <xf numFmtId="10" fontId="31" fillId="0" borderId="0" xfId="6" applyNumberFormat="1" applyFont="1" applyAlignment="1">
      <alignment horizontal="right"/>
    </xf>
    <xf numFmtId="10" fontId="31" fillId="0" borderId="0" xfId="6" applyNumberFormat="1" applyFont="1"/>
    <xf numFmtId="180" fontId="31" fillId="0" borderId="0" xfId="6" applyNumberFormat="1" applyFont="1"/>
    <xf numFmtId="10" fontId="31" fillId="0" borderId="0" xfId="6" applyNumberFormat="1" applyFont="1" applyAlignment="1">
      <alignment horizontal="center"/>
    </xf>
    <xf numFmtId="0" fontId="31" fillId="0" borderId="0" xfId="6" applyFont="1" applyAlignment="1">
      <alignment horizontal="center"/>
    </xf>
    <xf numFmtId="9" fontId="31" fillId="0" borderId="0" xfId="6" applyNumberFormat="1" applyFont="1" applyAlignment="1">
      <alignment horizontal="center"/>
    </xf>
    <xf numFmtId="9" fontId="31" fillId="0" borderId="0" xfId="6" applyNumberFormat="1" applyFont="1" applyAlignment="1">
      <alignment horizontal="right"/>
    </xf>
    <xf numFmtId="10" fontId="31" fillId="8" borderId="0" xfId="6" applyNumberFormat="1" applyFont="1" applyFill="1" applyAlignment="1">
      <alignment horizontal="right"/>
    </xf>
    <xf numFmtId="10" fontId="31" fillId="6" borderId="0" xfId="6" applyNumberFormat="1" applyFont="1" applyFill="1"/>
    <xf numFmtId="43" fontId="31" fillId="0" borderId="0" xfId="6" applyNumberFormat="1" applyFont="1"/>
    <xf numFmtId="0" fontId="31" fillId="0" borderId="0" xfId="6" applyFont="1" applyAlignment="1">
      <alignment horizontal="left"/>
    </xf>
    <xf numFmtId="9" fontId="31" fillId="0" borderId="0" xfId="6" applyNumberFormat="1" applyFont="1"/>
    <xf numFmtId="0" fontId="31" fillId="12" borderId="0" xfId="6" applyFont="1" applyFill="1"/>
    <xf numFmtId="0" fontId="32" fillId="0" borderId="0" xfId="6" applyFont="1"/>
    <xf numFmtId="182" fontId="31" fillId="3" borderId="0" xfId="6" applyNumberFormat="1" applyFont="1" applyFill="1"/>
    <xf numFmtId="0" fontId="3" fillId="0" borderId="1" xfId="0" applyFont="1" applyFill="1" applyBorder="1" applyAlignment="1">
      <alignment horizontal="center"/>
    </xf>
    <xf numFmtId="0" fontId="31" fillId="9" borderId="0" xfId="6" applyFont="1" applyFill="1"/>
    <xf numFmtId="180" fontId="31" fillId="9" borderId="0" xfId="6" applyNumberFormat="1" applyFont="1" applyFill="1"/>
    <xf numFmtId="10" fontId="31" fillId="9" borderId="0" xfId="9" applyNumberFormat="1" applyFont="1" applyFill="1" applyAlignment="1">
      <alignment horizontal="right"/>
    </xf>
    <xf numFmtId="181" fontId="7" fillId="0" borderId="41" xfId="7" applyNumberFormat="1" applyFont="1" applyFill="1" applyBorder="1" applyAlignment="1">
      <alignment wrapText="1"/>
    </xf>
    <xf numFmtId="194" fontId="5" fillId="0" borderId="41" xfId="7" applyNumberFormat="1" applyFont="1" applyFill="1" applyBorder="1" applyAlignment="1">
      <alignment wrapText="1"/>
    </xf>
    <xf numFmtId="3" fontId="31" fillId="0" borderId="0" xfId="6" applyNumberFormat="1" applyFont="1"/>
    <xf numFmtId="0" fontId="31" fillId="0" borderId="0" xfId="6" applyFont="1" applyFill="1"/>
    <xf numFmtId="0" fontId="31" fillId="3" borderId="0" xfId="6" applyFont="1" applyFill="1"/>
    <xf numFmtId="10" fontId="34" fillId="3" borderId="0" xfId="9" applyNumberFormat="1" applyFont="1" applyFill="1"/>
    <xf numFmtId="10" fontId="34" fillId="3" borderId="0" xfId="6" applyNumberFormat="1" applyFont="1" applyFill="1" applyAlignment="1">
      <alignment horizontal="center"/>
    </xf>
    <xf numFmtId="10" fontId="31" fillId="3" borderId="0" xfId="9" applyNumberFormat="1" applyFont="1" applyFill="1"/>
    <xf numFmtId="10" fontId="31" fillId="3" borderId="0" xfId="6" applyNumberFormat="1" applyFont="1" applyFill="1" applyAlignment="1">
      <alignment horizontal="center"/>
    </xf>
    <xf numFmtId="10" fontId="31" fillId="6" borderId="0" xfId="9" applyNumberFormat="1" applyFont="1" applyFill="1" applyAlignment="1">
      <alignment horizontal="right"/>
    </xf>
    <xf numFmtId="10" fontId="32" fillId="3" borderId="0" xfId="9" applyNumberFormat="1" applyFont="1" applyFill="1" applyAlignment="1">
      <alignment horizontal="right"/>
    </xf>
    <xf numFmtId="180" fontId="31" fillId="0" borderId="0" xfId="9" applyNumberFormat="1" applyFont="1" applyFill="1"/>
    <xf numFmtId="10" fontId="34" fillId="3" borderId="0" xfId="6" applyNumberFormat="1" applyFont="1" applyFill="1"/>
    <xf numFmtId="10" fontId="31" fillId="0" borderId="0" xfId="6" applyNumberFormat="1" applyFont="1" applyFill="1" applyAlignment="1">
      <alignment horizontal="center"/>
    </xf>
    <xf numFmtId="9" fontId="31" fillId="3" borderId="0" xfId="6" applyNumberFormat="1" applyFont="1" applyFill="1"/>
    <xf numFmtId="10" fontId="31" fillId="0" borderId="0" xfId="9" applyNumberFormat="1" applyFont="1" applyFill="1" applyAlignment="1">
      <alignment horizontal="right"/>
    </xf>
    <xf numFmtId="10" fontId="3" fillId="4" borderId="0" xfId="8" applyNumberFormat="1" applyFont="1" applyFill="1" applyAlignment="1">
      <alignment horizontal="right"/>
    </xf>
    <xf numFmtId="3" fontId="5" fillId="14" borderId="0" xfId="0" applyNumberFormat="1" applyFont="1" applyFill="1"/>
    <xf numFmtId="3" fontId="5" fillId="14" borderId="0" xfId="0" applyNumberFormat="1" applyFont="1" applyFill="1" applyAlignment="1">
      <alignment horizontal="center"/>
    </xf>
    <xf numFmtId="180" fontId="16" fillId="6" borderId="10" xfId="0" applyNumberFormat="1" applyFont="1" applyFill="1" applyBorder="1" applyAlignment="1">
      <alignment horizontal="center" vertical="center" wrapText="1"/>
    </xf>
    <xf numFmtId="215" fontId="5" fillId="0" borderId="1" xfId="7" applyNumberFormat="1" applyFont="1" applyFill="1" applyBorder="1" applyAlignment="1">
      <alignment wrapText="1"/>
    </xf>
    <xf numFmtId="215" fontId="7" fillId="0" borderId="1" xfId="7" applyNumberFormat="1" applyFont="1" applyFill="1" applyBorder="1"/>
    <xf numFmtId="215" fontId="6" fillId="0" borderId="1" xfId="7" applyNumberFormat="1" applyFont="1" applyFill="1" applyBorder="1" applyAlignment="1">
      <alignment wrapText="1"/>
    </xf>
    <xf numFmtId="215" fontId="7" fillId="0" borderId="1" xfId="7" applyNumberFormat="1" applyFont="1" applyFill="1" applyBorder="1" applyAlignment="1">
      <alignment wrapText="1"/>
    </xf>
    <xf numFmtId="0" fontId="7" fillId="0" borderId="1" xfId="0" applyNumberFormat="1" applyFont="1" applyFill="1" applyBorder="1" applyAlignment="1" applyProtection="1">
      <alignment horizontal="center" textRotation="90"/>
    </xf>
    <xf numFmtId="0" fontId="7" fillId="0" borderId="1" xfId="0" applyFont="1" applyFill="1" applyBorder="1" applyAlignment="1" applyProtection="1">
      <alignment horizontal="center" textRotation="90"/>
    </xf>
    <xf numFmtId="215" fontId="25" fillId="0" borderId="1" xfId="7" applyNumberFormat="1" applyFont="1" applyFill="1" applyBorder="1" applyAlignment="1">
      <alignment wrapText="1"/>
    </xf>
    <xf numFmtId="0" fontId="6" fillId="0" borderId="1" xfId="7" applyFont="1" applyFill="1" applyBorder="1"/>
    <xf numFmtId="0" fontId="6" fillId="0" borderId="10" xfId="0" applyFont="1" applyFill="1" applyBorder="1"/>
    <xf numFmtId="3" fontId="0" fillId="0" borderId="10" xfId="0" applyNumberFormat="1" applyFill="1" applyBorder="1"/>
    <xf numFmtId="0" fontId="0" fillId="0" borderId="10" xfId="0" applyFill="1" applyBorder="1"/>
    <xf numFmtId="0" fontId="8" fillId="6" borderId="38" xfId="3" applyFill="1" applyBorder="1" applyAlignment="1" applyProtection="1">
      <alignment horizontal="left" vertical="center" wrapText="1"/>
    </xf>
    <xf numFmtId="0" fontId="0" fillId="6" borderId="10" xfId="0" applyFill="1" applyBorder="1" applyAlignment="1">
      <alignment horizontal="center" vertical="center" wrapText="1"/>
    </xf>
    <xf numFmtId="0" fontId="14" fillId="6" borderId="42" xfId="0" applyFont="1" applyFill="1" applyBorder="1" applyAlignment="1">
      <alignment horizontal="center"/>
    </xf>
    <xf numFmtId="0" fontId="28" fillId="6" borderId="43" xfId="0" applyFont="1" applyFill="1" applyBorder="1" applyAlignment="1">
      <alignment horizontal="left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7" fillId="0" borderId="41" xfId="7" applyFont="1" applyFill="1" applyBorder="1" applyAlignment="1">
      <alignment horizontal="center"/>
    </xf>
    <xf numFmtId="0" fontId="4" fillId="13" borderId="36" xfId="6" applyFont="1" applyFill="1" applyBorder="1" applyAlignment="1">
      <alignment horizontal="center"/>
    </xf>
    <xf numFmtId="0" fontId="4" fillId="13" borderId="37" xfId="6" applyFont="1" applyFill="1" applyBorder="1" applyAlignment="1">
      <alignment horizontal="center"/>
    </xf>
    <xf numFmtId="0" fontId="4" fillId="13" borderId="44" xfId="6" applyFont="1" applyFill="1" applyBorder="1" applyAlignment="1">
      <alignment horizontal="center"/>
    </xf>
    <xf numFmtId="0" fontId="4" fillId="0" borderId="36" xfId="6" applyFont="1" applyFill="1" applyBorder="1" applyAlignment="1">
      <alignment horizontal="center"/>
    </xf>
    <xf numFmtId="0" fontId="4" fillId="0" borderId="44" xfId="6" applyFont="1" applyFill="1" applyBorder="1" applyAlignment="1">
      <alignment horizontal="center"/>
    </xf>
  </cellXfs>
  <cellStyles count="11">
    <cellStyle name="Comma 2" xfId="1"/>
    <cellStyle name="Currency 2" xfId="2"/>
    <cellStyle name="Hyperlink" xfId="3" builtinId="8"/>
    <cellStyle name="Leftborder" xfId="4"/>
    <cellStyle name="Normal" xfId="0" builtinId="0"/>
    <cellStyle name="Normal_Q1'07 (DATA)" xfId="5"/>
    <cellStyle name="Normal_Quarterly Operational Metrics IPT-TH Q1 2011 (3)" xfId="6"/>
    <cellStyle name="Normal_Yield &amp; %RA Q1-2009" xfId="7"/>
    <cellStyle name="Percent" xfId="8" builtinId="5"/>
    <cellStyle name="Percent 2" xfId="9"/>
    <cellStyle name="ปกติ_แบบฟอร์ม- 7 QC Tools" xfId="10"/>
  </cellStyles>
  <dxfs count="12">
    <dxf>
      <font>
        <color theme="0"/>
      </font>
    </dxf>
    <dxf>
      <font>
        <b/>
        <i val="0"/>
        <condense val="0"/>
        <extend val="0"/>
        <color indexed="10"/>
      </font>
    </dxf>
    <dxf>
      <font>
        <color theme="0" tint="-0.14996795556505021"/>
      </font>
    </dxf>
    <dxf>
      <font>
        <color theme="0"/>
      </font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  <dxf>
      <font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6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" Type="http://schemas.openxmlformats.org/officeDocument/2006/relationships/worksheet" Target="worksheets/sheet2.xml"/><Relationship Id="rId21" Type="http://schemas.openxmlformats.org/officeDocument/2006/relationships/externalLink" Target="externalLinks/externalLink12.xml"/><Relationship Id="rId7" Type="http://schemas.openxmlformats.org/officeDocument/2006/relationships/worksheet" Target="worksheets/sheet5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2" Type="http://schemas.openxmlformats.org/officeDocument/2006/relationships/chartsheet" Target="chartsheets/sheet1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4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5" Type="http://schemas.openxmlformats.org/officeDocument/2006/relationships/worksheet" Target="worksheets/sheet3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microsoft.com/office/2006/relationships/vbaProject" Target="vbaProject.bin"/><Relationship Id="rId4" Type="http://schemas.openxmlformats.org/officeDocument/2006/relationships/chartsheet" Target="chartsheets/sheet2.xml"/><Relationship Id="rId9" Type="http://schemas.openxmlformats.org/officeDocument/2006/relationships/worksheet" Target="worksheets/sheet7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8421631"/>
  <ax:ocxPr ax:name="Caption" ax:value="ClearPareto"/>
  <ax:ocxPr ax:name="Size" ax:value="2831;873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DefectsPareto"/>
  <ax:ocxPr ax:name="Size" ax:value="2831;873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On-Time Delivery Metric - Q3 2012
(All Product Combined)</a:t>
            </a:r>
          </a:p>
        </c:rich>
      </c:tx>
      <c:layout>
        <c:manualLayout>
          <c:xMode val="edge"/>
          <c:yMode val="edge"/>
          <c:x val="0.25363825363825365"/>
          <c:y val="2.772963604852686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993762993762994"/>
          <c:y val="0.24783362218370883"/>
          <c:w val="0.79833679833679838"/>
          <c:h val="0.56672443674176776"/>
        </c:manualLayout>
      </c:layout>
      <c:barChart>
        <c:barDir val="col"/>
        <c:grouping val="clustered"/>
        <c:ser>
          <c:idx val="1"/>
          <c:order val="0"/>
          <c:tx>
            <c:v>% On-Time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outEnd"/>
            <c:showVal val="1"/>
          </c:dLbls>
          <c:cat>
            <c:multiLvlStrRef>
              <c:f>'On-Time Delivery Data'!$B$59:$O$60</c:f>
              <c:multiLvlStrCache>
                <c:ptCount val="14"/>
                <c:lvl>
                  <c:pt idx="0">
                    <c:v>6-ม.ค.</c:v>
                  </c:pt>
                  <c:pt idx="1">
                    <c:v>13-ม.ค.</c:v>
                  </c:pt>
                  <c:pt idx="2">
                    <c:v>20-ม.ค.</c:v>
                  </c:pt>
                  <c:pt idx="3">
                    <c:v>27-ม.ค.</c:v>
                  </c:pt>
                  <c:pt idx="4">
                    <c:v>3-ก.พ.</c:v>
                  </c:pt>
                  <c:pt idx="5">
                    <c:v>10-ก.พ.</c:v>
                  </c:pt>
                  <c:pt idx="6">
                    <c:v>17-ก.พ.</c:v>
                  </c:pt>
                  <c:pt idx="7">
                    <c:v>24-ก.พ.</c:v>
                  </c:pt>
                  <c:pt idx="8">
                    <c:v>2-มี.ค.</c:v>
                  </c:pt>
                  <c:pt idx="9">
                    <c:v>9-มี.ค.</c:v>
                  </c:pt>
                  <c:pt idx="10">
                    <c:v>16-มี.ค.</c:v>
                  </c:pt>
                  <c:pt idx="11">
                    <c:v>23-มี.ค.</c:v>
                  </c:pt>
                  <c:pt idx="12">
                    <c:v>30-มี.ค.</c:v>
                  </c:pt>
                  <c:pt idx="13">
                    <c:v>Q3 Cum</c:v>
                  </c:pt>
                </c:lvl>
                <c:lvl>
                  <c:pt idx="0">
                    <c:v>27</c:v>
                  </c:pt>
                  <c:pt idx="1">
                    <c:v>28</c:v>
                  </c:pt>
                  <c:pt idx="2">
                    <c:v>29</c:v>
                  </c:pt>
                  <c:pt idx="3">
                    <c:v>30</c:v>
                  </c:pt>
                  <c:pt idx="4">
                    <c:v>31</c:v>
                  </c:pt>
                  <c:pt idx="5">
                    <c:v>32</c:v>
                  </c:pt>
                  <c:pt idx="6">
                    <c:v>33</c:v>
                  </c:pt>
                  <c:pt idx="7">
                    <c:v>34</c:v>
                  </c:pt>
                  <c:pt idx="8">
                    <c:v>35</c:v>
                  </c:pt>
                  <c:pt idx="9">
                    <c:v>36</c:v>
                  </c:pt>
                  <c:pt idx="10">
                    <c:v>37</c:v>
                  </c:pt>
                  <c:pt idx="11">
                    <c:v>38</c:v>
                  </c:pt>
                  <c:pt idx="12">
                    <c:v>39</c:v>
                  </c:pt>
                  <c:pt idx="13">
                    <c:v>-</c:v>
                  </c:pt>
                </c:lvl>
              </c:multiLvlStrCache>
            </c:multiLvlStrRef>
          </c:cat>
          <c:val>
            <c:numRef>
              <c:f>'On-Time Delivery Data'!$B$63:$P$63</c:f>
              <c:numCache>
                <c:formatCode>0.0%</c:formatCode>
                <c:ptCount val="1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0.8571428571428571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 formatCode="0.00%">
                  <c:v>0.98941798941798942</c:v>
                </c:pt>
                <c:pt idx="14">
                  <c:v>0.997</c:v>
                </c:pt>
              </c:numCache>
            </c:numRef>
          </c:val>
        </c:ser>
        <c:axId val="146080512"/>
        <c:axId val="146082432"/>
      </c:barChart>
      <c:lineChart>
        <c:grouping val="standard"/>
        <c:ser>
          <c:idx val="0"/>
          <c:order val="1"/>
          <c:tx>
            <c:v>Qty Shipped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multiLvlStrRef>
              <c:f>'On-Time Delivery Data'!$B$59:$O$60</c:f>
              <c:multiLvlStrCache>
                <c:ptCount val="14"/>
                <c:lvl>
                  <c:pt idx="0">
                    <c:v>6-ม.ค.</c:v>
                  </c:pt>
                  <c:pt idx="1">
                    <c:v>13-ม.ค.</c:v>
                  </c:pt>
                  <c:pt idx="2">
                    <c:v>20-ม.ค.</c:v>
                  </c:pt>
                  <c:pt idx="3">
                    <c:v>27-ม.ค.</c:v>
                  </c:pt>
                  <c:pt idx="4">
                    <c:v>3-ก.พ.</c:v>
                  </c:pt>
                  <c:pt idx="5">
                    <c:v>10-ก.พ.</c:v>
                  </c:pt>
                  <c:pt idx="6">
                    <c:v>17-ก.พ.</c:v>
                  </c:pt>
                  <c:pt idx="7">
                    <c:v>24-ก.พ.</c:v>
                  </c:pt>
                  <c:pt idx="8">
                    <c:v>2-มี.ค.</c:v>
                  </c:pt>
                  <c:pt idx="9">
                    <c:v>9-มี.ค.</c:v>
                  </c:pt>
                  <c:pt idx="10">
                    <c:v>16-มี.ค.</c:v>
                  </c:pt>
                  <c:pt idx="11">
                    <c:v>23-มี.ค.</c:v>
                  </c:pt>
                  <c:pt idx="12">
                    <c:v>30-มี.ค.</c:v>
                  </c:pt>
                  <c:pt idx="13">
                    <c:v>Q3 Cum</c:v>
                  </c:pt>
                </c:lvl>
                <c:lvl>
                  <c:pt idx="0">
                    <c:v>27</c:v>
                  </c:pt>
                  <c:pt idx="1">
                    <c:v>28</c:v>
                  </c:pt>
                  <c:pt idx="2">
                    <c:v>29</c:v>
                  </c:pt>
                  <c:pt idx="3">
                    <c:v>30</c:v>
                  </c:pt>
                  <c:pt idx="4">
                    <c:v>31</c:v>
                  </c:pt>
                  <c:pt idx="5">
                    <c:v>32</c:v>
                  </c:pt>
                  <c:pt idx="6">
                    <c:v>33</c:v>
                  </c:pt>
                  <c:pt idx="7">
                    <c:v>34</c:v>
                  </c:pt>
                  <c:pt idx="8">
                    <c:v>35</c:v>
                  </c:pt>
                  <c:pt idx="9">
                    <c:v>36</c:v>
                  </c:pt>
                  <c:pt idx="10">
                    <c:v>37</c:v>
                  </c:pt>
                  <c:pt idx="11">
                    <c:v>38</c:v>
                  </c:pt>
                  <c:pt idx="12">
                    <c:v>39</c:v>
                  </c:pt>
                  <c:pt idx="13">
                    <c:v>-</c:v>
                  </c:pt>
                </c:lvl>
              </c:multiLvlStrCache>
            </c:multiLvlStrRef>
          </c:cat>
          <c:val>
            <c:numRef>
              <c:f>'On-Time Delivery Data'!$B$67:$N$67</c:f>
              <c:numCache>
                <c:formatCode>#,##0.0000</c:formatCode>
                <c:ptCount val="13"/>
                <c:pt idx="0">
                  <c:v>1.437532</c:v>
                </c:pt>
                <c:pt idx="1">
                  <c:v>1.5288390000000001</c:v>
                </c:pt>
                <c:pt idx="2">
                  <c:v>1.4897720000000001</c:v>
                </c:pt>
                <c:pt idx="3">
                  <c:v>1.5335399999999999</c:v>
                </c:pt>
                <c:pt idx="4">
                  <c:v>1.6785490000000001</c:v>
                </c:pt>
                <c:pt idx="5">
                  <c:v>1.6214150000000001</c:v>
                </c:pt>
                <c:pt idx="6">
                  <c:v>1.4903</c:v>
                </c:pt>
                <c:pt idx="7">
                  <c:v>1.4080349999999999</c:v>
                </c:pt>
                <c:pt idx="8">
                  <c:v>2.6399010000000001</c:v>
                </c:pt>
                <c:pt idx="9">
                  <c:v>1.435608</c:v>
                </c:pt>
                <c:pt idx="10">
                  <c:v>1.582246</c:v>
                </c:pt>
                <c:pt idx="11">
                  <c:v>2.1423329999999998</c:v>
                </c:pt>
                <c:pt idx="12">
                  <c:v>4.4367900000000002</c:v>
                </c:pt>
              </c:numCache>
            </c:numRef>
          </c:val>
        </c:ser>
        <c:marker val="1"/>
        <c:axId val="146088704"/>
        <c:axId val="146090240"/>
      </c:lineChart>
      <c:catAx>
        <c:axId val="146080512"/>
        <c:scaling>
          <c:orientation val="minMax"/>
        </c:scaling>
        <c:delete val="1"/>
        <c:axPos val="b"/>
        <c:tickLblPos val="nextTo"/>
        <c:crossAx val="146082432"/>
        <c:crossesAt val="0.5"/>
        <c:lblAlgn val="ctr"/>
        <c:lblOffset val="100"/>
      </c:catAx>
      <c:valAx>
        <c:axId val="146082432"/>
        <c:scaling>
          <c:orientation val="minMax"/>
          <c:max val="1.1000000000000001"/>
          <c:min val="0.5"/>
        </c:scaling>
        <c:axPos val="l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Percent POs Shipped On-Time</a:t>
                </a:r>
              </a:p>
            </c:rich>
          </c:tx>
          <c:layout>
            <c:manualLayout>
              <c:xMode val="edge"/>
              <c:yMode val="edge"/>
              <c:x val="0"/>
              <c:y val="0.2675364019705509"/>
            </c:manualLayout>
          </c:layout>
          <c:spPr>
            <a:noFill/>
            <a:ln w="25400">
              <a:noFill/>
            </a:ln>
          </c:spPr>
        </c:title>
        <c:numFmt formatCode="0.0%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080512"/>
        <c:crosses val="autoZero"/>
        <c:crossBetween val="between"/>
        <c:majorUnit val="0.1"/>
      </c:valAx>
      <c:catAx>
        <c:axId val="146088704"/>
        <c:scaling>
          <c:orientation val="minMax"/>
        </c:scaling>
        <c:delete val="1"/>
        <c:axPos val="b"/>
        <c:tickLblPos val="nextTo"/>
        <c:crossAx val="146090240"/>
        <c:crosses val="autoZero"/>
        <c:lblAlgn val="ctr"/>
        <c:lblOffset val="100"/>
      </c:catAx>
      <c:valAx>
        <c:axId val="146090240"/>
        <c:scaling>
          <c:orientation val="minMax"/>
          <c:max val="5.5"/>
        </c:scaling>
        <c:axPos val="r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Quantity of Units Shipped</a:t>
                </a:r>
              </a:p>
            </c:rich>
          </c:tx>
          <c:layout>
            <c:manualLayout>
              <c:xMode val="edge"/>
              <c:yMode val="edge"/>
              <c:x val="0.96670148040226778"/>
              <c:y val="0.3278956681541324"/>
            </c:manualLayout>
          </c:layout>
          <c:spPr>
            <a:noFill/>
            <a:ln w="25400">
              <a:noFill/>
            </a:ln>
          </c:spPr>
        </c:title>
        <c:numFmt formatCode="#,##0.000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088704"/>
        <c:crosses val="max"/>
        <c:crossBetween val="between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dTable>
      <c:spPr>
        <a:solidFill>
          <a:srgbClr val="A6CAF0"/>
        </a:solidFill>
        <a:ln w="3175">
          <a:solidFill>
            <a:srgbClr val="000000"/>
          </a:solidFill>
          <a:prstDash val="solid"/>
        </a:ln>
      </c:spPr>
    </c:plotArea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Product Yield - Q3 2012
(Arm - Included Prototypes)</a:t>
            </a:r>
          </a:p>
        </c:rich>
      </c:tx>
      <c:layout>
        <c:manualLayout>
          <c:xMode val="edge"/>
          <c:yMode val="edge"/>
          <c:x val="0.29699668784465205"/>
          <c:y val="2.6101109220643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9866814650388456"/>
          <c:y val="0.21943048576214405"/>
          <c:w val="0.72253052164261933"/>
          <c:h val="0.60636515912897826"/>
        </c:manualLayout>
      </c:layout>
      <c:barChart>
        <c:barDir val="col"/>
        <c:grouping val="clustered"/>
        <c:ser>
          <c:idx val="1"/>
          <c:order val="0"/>
          <c:tx>
            <c:strRef>
              <c:f>'Cum-Yield'!$A$14</c:f>
              <c:strCache>
                <c:ptCount val="1"/>
                <c:pt idx="0">
                  <c:v>Yield (%)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13"/>
            <c:spPr>
              <a:solidFill>
                <a:srgbClr val="0080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numFmt formatCode="0.00%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showVal val="1"/>
          </c:dLbls>
          <c:cat>
            <c:multiLvlStrRef>
              <c:f>'Cum-Yield'!$B$3:$P$4</c:f>
              <c:multiLvlStrCache>
                <c:ptCount val="15"/>
                <c:lvl>
                  <c:pt idx="0">
                    <c:v>6-ม.ค.</c:v>
                  </c:pt>
                  <c:pt idx="1">
                    <c:v>13-ม.ค.</c:v>
                  </c:pt>
                  <c:pt idx="2">
                    <c:v>20-ม.ค.</c:v>
                  </c:pt>
                  <c:pt idx="3">
                    <c:v>27-ม.ค.</c:v>
                  </c:pt>
                  <c:pt idx="4">
                    <c:v>3-ก.พ.</c:v>
                  </c:pt>
                  <c:pt idx="5">
                    <c:v>10-ก.พ.</c:v>
                  </c:pt>
                  <c:pt idx="6">
                    <c:v>17-ก.พ.</c:v>
                  </c:pt>
                  <c:pt idx="7">
                    <c:v>24-ก.พ.</c:v>
                  </c:pt>
                  <c:pt idx="8">
                    <c:v>2-มี.ค.</c:v>
                  </c:pt>
                  <c:pt idx="9">
                    <c:v>9-มี.ค.</c:v>
                  </c:pt>
                  <c:pt idx="10">
                    <c:v>16-มี.ค.</c:v>
                  </c:pt>
                  <c:pt idx="11">
                    <c:v>23-มี.ค.</c:v>
                  </c:pt>
                  <c:pt idx="12">
                    <c:v>30-มี.ค.</c:v>
                  </c:pt>
                </c:lvl>
                <c:lvl>
                  <c:pt idx="0">
                    <c:v>27</c:v>
                  </c:pt>
                  <c:pt idx="1">
                    <c:v>28</c:v>
                  </c:pt>
                  <c:pt idx="2">
                    <c:v>29</c:v>
                  </c:pt>
                  <c:pt idx="3">
                    <c:v>30</c:v>
                  </c:pt>
                  <c:pt idx="4">
                    <c:v>31</c:v>
                  </c:pt>
                  <c:pt idx="5">
                    <c:v>32</c:v>
                  </c:pt>
                  <c:pt idx="6">
                    <c:v>33</c:v>
                  </c:pt>
                  <c:pt idx="7">
                    <c:v>34</c:v>
                  </c:pt>
                  <c:pt idx="8">
                    <c:v>35</c:v>
                  </c:pt>
                  <c:pt idx="9">
                    <c:v>36</c:v>
                  </c:pt>
                  <c:pt idx="10">
                    <c:v>37</c:v>
                  </c:pt>
                  <c:pt idx="11">
                    <c:v>38</c:v>
                  </c:pt>
                  <c:pt idx="12">
                    <c:v>39</c:v>
                  </c:pt>
                  <c:pt idx="13">
                    <c:v>Q3 Cum</c:v>
                  </c:pt>
                  <c:pt idx="14">
                    <c:v>Goal</c:v>
                  </c:pt>
                </c:lvl>
              </c:multiLvlStrCache>
            </c:multiLvlStrRef>
          </c:cat>
          <c:val>
            <c:numRef>
              <c:f>'Cum-Yield'!$B$14:$P$14</c:f>
              <c:numCache>
                <c:formatCode>0.00%</c:formatCode>
                <c:ptCount val="15"/>
                <c:pt idx="0">
                  <c:v>0.98000051308927383</c:v>
                </c:pt>
                <c:pt idx="1">
                  <c:v>0.97975643367416587</c:v>
                </c:pt>
                <c:pt idx="2">
                  <c:v>0.95949688316489323</c:v>
                </c:pt>
                <c:pt idx="3">
                  <c:v>0.98427960983128016</c:v>
                </c:pt>
                <c:pt idx="4">
                  <c:v>0.98355414014654297</c:v>
                </c:pt>
                <c:pt idx="5">
                  <c:v>0.95194951790393878</c:v>
                </c:pt>
                <c:pt idx="6">
                  <c:v>0.98253803278852614</c:v>
                </c:pt>
                <c:pt idx="7">
                  <c:v>0.98384236655175128</c:v>
                </c:pt>
                <c:pt idx="8">
                  <c:v>0.98544316808930665</c:v>
                </c:pt>
                <c:pt idx="9">
                  <c:v>0.97954641763090389</c:v>
                </c:pt>
                <c:pt idx="10">
                  <c:v>0.94476382924981051</c:v>
                </c:pt>
                <c:pt idx="11">
                  <c:v>0.95555928392384948</c:v>
                </c:pt>
                <c:pt idx="12">
                  <c:v>0.96504626140944427</c:v>
                </c:pt>
                <c:pt idx="13" formatCode="0.0%">
                  <c:v>0.96964358173404908</c:v>
                </c:pt>
                <c:pt idx="14" formatCode="0.0%">
                  <c:v>0.94499999999999995</c:v>
                </c:pt>
              </c:numCache>
            </c:numRef>
          </c:val>
        </c:ser>
        <c:axId val="145753984"/>
        <c:axId val="145772544"/>
      </c:barChart>
      <c:lineChart>
        <c:grouping val="standard"/>
        <c:ser>
          <c:idx val="0"/>
          <c:order val="1"/>
          <c:tx>
            <c:strRef>
              <c:f>'Cum-Yield'!$A$15</c:f>
              <c:strCache>
                <c:ptCount val="1"/>
                <c:pt idx="0">
                  <c:v>Qty Parts Input (x1K)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val>
            <c:numRef>
              <c:f>'Cum-Yield'!$B$15:$N$15</c:f>
              <c:numCache>
                <c:formatCode>#,##0.000,</c:formatCode>
                <c:ptCount val="13"/>
                <c:pt idx="0">
                  <c:v>818571</c:v>
                </c:pt>
                <c:pt idx="1">
                  <c:v>615356</c:v>
                </c:pt>
                <c:pt idx="2">
                  <c:v>1238917</c:v>
                </c:pt>
                <c:pt idx="3">
                  <c:v>1383299</c:v>
                </c:pt>
                <c:pt idx="4">
                  <c:v>1330122</c:v>
                </c:pt>
                <c:pt idx="5">
                  <c:v>1407707</c:v>
                </c:pt>
                <c:pt idx="6">
                  <c:v>1198834</c:v>
                </c:pt>
                <c:pt idx="7">
                  <c:v>1170716</c:v>
                </c:pt>
                <c:pt idx="8">
                  <c:v>1775455</c:v>
                </c:pt>
                <c:pt idx="9">
                  <c:v>1545695</c:v>
                </c:pt>
                <c:pt idx="10">
                  <c:v>2276425</c:v>
                </c:pt>
                <c:pt idx="11">
                  <c:v>2092068</c:v>
                </c:pt>
                <c:pt idx="12">
                  <c:v>1154526</c:v>
                </c:pt>
              </c:numCache>
            </c:numRef>
          </c:val>
        </c:ser>
        <c:marker val="1"/>
        <c:axId val="145774464"/>
        <c:axId val="145776000"/>
      </c:lineChart>
      <c:catAx>
        <c:axId val="145753984"/>
        <c:scaling>
          <c:orientation val="minMax"/>
        </c:scaling>
        <c:axPos val="b"/>
        <c:numFmt formatCode="General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5772544"/>
        <c:crosses val="autoZero"/>
        <c:lblAlgn val="ctr"/>
        <c:lblOffset val="100"/>
        <c:tickLblSkip val="1"/>
        <c:tickMarkSkip val="1"/>
      </c:catAx>
      <c:valAx>
        <c:axId val="145772544"/>
        <c:scaling>
          <c:orientation val="minMax"/>
          <c:max val="1"/>
          <c:min val="0.5"/>
        </c:scaling>
        <c:axPos val="l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Product Yield (%)</a:t>
                </a:r>
              </a:p>
            </c:rich>
          </c:tx>
          <c:layout>
            <c:manualLayout>
              <c:xMode val="edge"/>
              <c:yMode val="edge"/>
              <c:x val="0"/>
              <c:y val="0.36867856342077843"/>
            </c:manualLayout>
          </c:layout>
          <c:spPr>
            <a:noFill/>
            <a:ln w="25400">
              <a:noFill/>
            </a:ln>
          </c:spPr>
        </c:title>
        <c:numFmt formatCode="0%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5753984"/>
        <c:crosses val="autoZero"/>
        <c:crossBetween val="between"/>
        <c:majorUnit val="0.05"/>
      </c:valAx>
      <c:catAx>
        <c:axId val="145774464"/>
        <c:scaling>
          <c:orientation val="minMax"/>
        </c:scaling>
        <c:delete val="1"/>
        <c:axPos val="b"/>
        <c:tickLblPos val="nextTo"/>
        <c:crossAx val="145776000"/>
        <c:crosses val="autoZero"/>
        <c:lblAlgn val="ctr"/>
        <c:lblOffset val="100"/>
      </c:catAx>
      <c:valAx>
        <c:axId val="145776000"/>
        <c:scaling>
          <c:orientation val="minMax"/>
          <c:max val="4000"/>
        </c:scaling>
        <c:axPos val="r"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t>Qty of Units Inspected (x 1K)</a:t>
                </a:r>
              </a:p>
            </c:rich>
          </c:tx>
          <c:layout>
            <c:manualLayout>
              <c:xMode val="edge"/>
              <c:yMode val="edge"/>
              <c:x val="0.95216909761973423"/>
              <c:y val="0.28548129976215286"/>
            </c:manualLayout>
          </c:layout>
          <c:spPr>
            <a:noFill/>
            <a:ln w="25400">
              <a:noFill/>
            </a:ln>
          </c:spPr>
        </c:title>
        <c:numFmt formatCode="General" sourceLinked="0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5774464"/>
        <c:crosses val="max"/>
        <c:crossBetween val="between"/>
        <c:majorUnit val="250"/>
        <c:minorUnit val="100"/>
      </c:valAx>
      <c:dTable>
        <c:showHorzBorder val="1"/>
        <c:showVertBorder val="1"/>
        <c:showOutline val="1"/>
        <c:showKeys val="1"/>
        <c:spPr>
          <a:ln w="3175">
            <a:solidFill>
              <a:srgbClr val="000000"/>
            </a:solidFill>
            <a:prstDash val="solid"/>
          </a:ln>
        </c:spPr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</c:dTable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userShapes r:id="rId1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82" workbookViewId="0"/>
  </sheetViews>
  <pageMargins left="0.36" right="0.5" top="1" bottom="1" header="0.5" footer="0.5"/>
  <pageSetup orientation="landscape" r:id="rId1"/>
  <headerFooter alignWithMargins="0">
    <oddHeader>&amp;A</oddHeader>
    <oddFooter>Page &amp;P</oddFooter>
  </headerFooter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 codeName="Chart4">
    <tabColor indexed="41"/>
  </sheetPr>
  <sheetViews>
    <sheetView workbookViewId="0"/>
  </sheetViews>
  <pageMargins left="0.75" right="0.75" top="1" bottom="1" header="0.5" footer="0.5"/>
  <pageSetup orientation="landscape" r:id="rId1"/>
  <headerFooter alignWithMargins="0">
    <oddHeader>&amp;A</oddHeader>
    <oddFooter>Page &amp;P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63050" cy="54959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582025" cy="568642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0.527</cdr:x>
      <cdr:y>0.4415</cdr:y>
    </cdr:from>
    <cdr:to>
      <cdr:x>0.535</cdr:x>
      <cdr:y>0.46725</cdr:y>
    </cdr:to>
    <cdr:sp macro="" textlink="">
      <cdr:nvSpPr>
        <cdr:cNvPr id="40961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347851" y="2577841"/>
          <a:ext cx="70644" cy="1503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7432" tIns="22860" rIns="27432" bIns="228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825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05\IPT%20Report$\DOCUME~1\johns\LOCALS~1\Temp\IPT%20Budget%208_1_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server2\Ron\Capex%20plan%20for%20Q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Backup%20AF_%20N\TAP%20Account\&#3588;&#3656;&#3634;&#3651;&#3594;&#3657;&#3592;&#3656;&#3634;&#3618;&#3649;&#3618;&#3585;&#3649;&#3612;&#3609;&#3585;-2005\Documents%20and%20Settings\somsak\Local%20Settings\Temporary%20Internet%20Files\OLK3\Documents%20and%20Settings\Somsak\Local%20Settings\Temporary%20Internet%20Files\OLK53\&#3618;&#3629;&#3604;&#3586;&#3634;&#3618;&#3594;&#3636;&#3657;&#3609;&#3626;&#3656;&#3623;&#360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ipat\chaipatd\Financial98\BS97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ipat\chaipatd\CHAIPATD\FIN97\BS970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ipat\chaipatd\SAKSHARE\FILE41\CUSTOMER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count09\advance%20pape\Somsak\Heil%20asia\Bs000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_HEIL\INFORMATION\account\SAK\Bs9904A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count09\advance%20pape\Somsak\Heil%20asia\Bs99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uter\c\SAKSHARE\FILE41\CUSTOMER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ipat\chaipat\My%20Documents\CHAIPATD\Fin99\Bs99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csap4\AP\WINDOWS\TEMP\BS97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ovanee\c\CHAIPATD\Fin99\Bs990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ovanee\c\My%20Documents\SAK\SAKSHARE\Order\Sale%20Repor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Backup%20AF_%20N\TAP%20Account\&#3588;&#3656;&#3634;&#3651;&#3594;&#3657;&#3592;&#3656;&#3634;&#3618;&#3649;&#3618;&#3585;&#3649;&#3612;&#3609;&#3585;-2005\Advance%20Paper\Finance%20statment\Fi2003\Fi_St12-4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csap4\AP\Bugget2003\Prepar%20Bug%20Mil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Backup%20AF_%20N\TAP%20Account\&#3588;&#3656;&#3634;&#3651;&#3594;&#3657;&#3592;&#3656;&#3634;&#3618;&#3649;&#3618;&#3585;&#3649;&#3612;&#3609;&#3585;-2005\TAP\&#3591;&#3610;&#3585;&#3634;&#3619;&#3648;&#3591;&#3636;&#3609;\2548\Trial%20Balance%20254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Revisions"/>
      <sheetName val="calcs"/>
      <sheetName val="Check"/>
      <sheetName val="Comparison"/>
      <sheetName val="Jul 03 Plan"/>
      <sheetName val="IPT Sum"/>
      <sheetName val="Capex (2)"/>
      <sheetName val="03 CapEx"/>
      <sheetName val="Capex (1)"/>
      <sheetName val="Debt"/>
      <sheetName val="Thailand Sum"/>
      <sheetName val="N. America Sum"/>
      <sheetName val="IHS SALES(All)"/>
      <sheetName val="IHS SALES(Thai)"/>
      <sheetName val="IHS SALES(NA)"/>
      <sheetName val="IHS Sum"/>
      <sheetName val="Summary Data"/>
      <sheetName val="per Unit"/>
      <sheetName val="Cover"/>
      <sheetName val="Notes"/>
      <sheetName val="Hist Comp"/>
      <sheetName val="STB REV"/>
      <sheetName val="BOD Stat"/>
      <sheetName val="BOD SHT"/>
      <sheetName val="Honeywell"/>
      <sheetName val="Ind Labor"/>
      <sheetName val="HEM Royalty"/>
      <sheetName val="HW 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apex plan for Q3"/>
      <sheetName val="#REF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u-Plan 04"/>
      <sheetName val="Bu-Plan 04 ver.2"/>
      <sheetName val="1. ยอดขาย -test "/>
    </sheetNames>
    <sheetDataSet>
      <sheetData sheetId="0"/>
      <sheetData sheetId="1"/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LANCE SHEET "/>
    </sheetNames>
    <sheetDataSet>
      <sheetData sheetId="0" refreshError="1">
        <row r="11">
          <cell r="C11">
            <v>92228783.219999999</v>
          </cell>
          <cell r="D11">
            <v>98438703.849999994</v>
          </cell>
        </row>
        <row r="12">
          <cell r="C12">
            <v>10423180.720000001</v>
          </cell>
          <cell r="D12">
            <v>11045717.66</v>
          </cell>
        </row>
        <row r="15">
          <cell r="C15">
            <v>134139031.10000001</v>
          </cell>
          <cell r="D15">
            <v>134262945</v>
          </cell>
        </row>
        <row r="18">
          <cell r="C18">
            <v>42935194.200000003</v>
          </cell>
          <cell r="D18">
            <v>42957297.549999997</v>
          </cell>
        </row>
        <row r="23">
          <cell r="C23">
            <v>1907558.59</v>
          </cell>
          <cell r="D23">
            <v>3336283.34</v>
          </cell>
        </row>
        <row r="24">
          <cell r="C24">
            <v>1280984.32</v>
          </cell>
          <cell r="D24">
            <v>1478665.39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BALANCE SHEET "/>
      <sheetName val="COVER"/>
      <sheetName val="PL COVER"/>
      <sheetName val="BS COVER "/>
      <sheetName val="ATTH COVER "/>
      <sheetName val="ASSUMP"/>
      <sheetName val="SALE Y-T-D"/>
      <sheetName val="SALE "/>
      <sheetName val="Boi"/>
      <sheetName val="Service"/>
      <sheetName val="Non-Boi"/>
      <sheetName val="INCOME STATEMENT"/>
      <sheetName val="OTHER REV"/>
    </sheetNames>
    <sheetDataSet>
      <sheetData sheetId="0" refreshError="1">
        <row r="11">
          <cell r="C11">
            <v>92228783.219999999</v>
          </cell>
          <cell r="D11">
            <v>98438703.849999994</v>
          </cell>
        </row>
        <row r="12">
          <cell r="C12">
            <v>10423180.720000001</v>
          </cell>
          <cell r="D12">
            <v>11045717.66</v>
          </cell>
        </row>
        <row r="15">
          <cell r="C15">
            <v>134139031.10000001</v>
          </cell>
          <cell r="D15">
            <v>134262945</v>
          </cell>
        </row>
        <row r="18">
          <cell r="C18">
            <v>42935194.200000003</v>
          </cell>
          <cell r="D18">
            <v>42957297.549999997</v>
          </cell>
        </row>
        <row r="23">
          <cell r="C23">
            <v>1907558.59</v>
          </cell>
          <cell r="D23">
            <v>3336283.34</v>
          </cell>
        </row>
        <row r="24">
          <cell r="C24">
            <v>1280984.32</v>
          </cell>
          <cell r="D24">
            <v>1478665.39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CUSTOMER"/>
    </sheetNames>
    <sheetDataSet>
      <sheetData sheetId="0" refreshError="1">
        <row r="1">
          <cell r="A1" t="str">
            <v>01001</v>
          </cell>
        </row>
        <row r="2">
          <cell r="A2" t="str">
            <v>01003</v>
          </cell>
        </row>
        <row r="3">
          <cell r="A3" t="str">
            <v>01003.1</v>
          </cell>
        </row>
        <row r="4">
          <cell r="A4" t="str">
            <v>01004</v>
          </cell>
        </row>
        <row r="5">
          <cell r="A5" t="str">
            <v>01005</v>
          </cell>
        </row>
        <row r="6">
          <cell r="A6" t="str">
            <v>01006</v>
          </cell>
        </row>
        <row r="7">
          <cell r="A7" t="str">
            <v>01007</v>
          </cell>
        </row>
        <row r="8">
          <cell r="A8" t="str">
            <v>01008</v>
          </cell>
        </row>
        <row r="9">
          <cell r="A9" t="str">
            <v>01009</v>
          </cell>
        </row>
        <row r="10">
          <cell r="A10" t="str">
            <v>01014</v>
          </cell>
          <cell r="B10" t="str">
            <v>กรมช่างโยธาทหารอากาศ</v>
          </cell>
        </row>
        <row r="11">
          <cell r="A11" t="str">
            <v>01015</v>
          </cell>
          <cell r="B11" t="str">
            <v>กรมช่างโยธาทหารอากาศ</v>
          </cell>
        </row>
        <row r="12">
          <cell r="A12" t="str">
            <v>03</v>
          </cell>
        </row>
        <row r="13">
          <cell r="A13" t="str">
            <v>04002</v>
          </cell>
        </row>
        <row r="14">
          <cell r="A14" t="str">
            <v>04004</v>
          </cell>
        </row>
        <row r="15">
          <cell r="A15" t="str">
            <v>04005</v>
          </cell>
        </row>
        <row r="16">
          <cell r="A16" t="str">
            <v>04006</v>
          </cell>
        </row>
        <row r="17">
          <cell r="A17" t="str">
            <v>04007</v>
          </cell>
        </row>
        <row r="18">
          <cell r="A18" t="str">
            <v>04008</v>
          </cell>
          <cell r="B18" t="str">
            <v>CALTON INTERNATION (THAILAND)</v>
          </cell>
        </row>
        <row r="19">
          <cell r="A19" t="str">
            <v>04009</v>
          </cell>
          <cell r="B19" t="str">
            <v>SITCA FINANCIAL(COSMO)</v>
          </cell>
        </row>
        <row r="20">
          <cell r="A20" t="str">
            <v>04010</v>
          </cell>
          <cell r="B20" t="str">
            <v>SITCA FINANCIAL(COSMO)</v>
          </cell>
        </row>
        <row r="21">
          <cell r="A21" t="str">
            <v>04011</v>
          </cell>
        </row>
        <row r="22">
          <cell r="A22" t="str">
            <v>04012</v>
          </cell>
        </row>
        <row r="23">
          <cell r="A23" t="str">
            <v>04013</v>
          </cell>
        </row>
        <row r="24">
          <cell r="A24" t="str">
            <v>04014</v>
          </cell>
        </row>
        <row r="25">
          <cell r="A25" t="str">
            <v>04015</v>
          </cell>
        </row>
        <row r="26">
          <cell r="A26" t="str">
            <v>04017</v>
          </cell>
          <cell r="B26" t="str">
            <v>CALCIUM PRODUCTS COMPANY LIMITED</v>
          </cell>
        </row>
        <row r="27">
          <cell r="A27" t="str">
            <v>05001</v>
          </cell>
          <cell r="B27" t="str">
            <v>CALTEX CAMBODIA LIMITED</v>
          </cell>
        </row>
        <row r="28">
          <cell r="A28" t="str">
            <v>05003</v>
          </cell>
          <cell r="B28" t="str">
            <v>PACIFIC FINANCIAL (COSMO)</v>
          </cell>
        </row>
        <row r="29">
          <cell r="A29" t="str">
            <v>05004</v>
          </cell>
        </row>
        <row r="30">
          <cell r="A30" t="str">
            <v>06002</v>
          </cell>
          <cell r="B30" t="str">
            <v>PACIFIC FINANCIAL (COSMO)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ASSUMP"/>
      <sheetName val="COVER"/>
      <sheetName val="PL COVER"/>
      <sheetName val="INCOME STM"/>
      <sheetName val="SALES COVER "/>
      <sheetName val="Summary   "/>
      <sheetName val="Boi "/>
      <sheetName val="Non-Boi "/>
      <sheetName val="ADJ. "/>
      <sheetName val="ANALYSIS COVER "/>
      <sheetName val="BS COVER  "/>
      <sheetName val="BALANCE SHEET "/>
      <sheetName val="CASH FLOW"/>
      <sheetName val="BS ATTACH"/>
      <sheetName val="BS ATTACH#2"/>
      <sheetName val="EXPENSE COVER"/>
      <sheetName val="MORE COVER "/>
      <sheetName val="AR"/>
      <sheetName val="AGING SERVICE"/>
      <sheetName val="INVENTORY"/>
      <sheetName val="FG"/>
      <sheetName val="ASSET"/>
      <sheetName val="DEPRE"/>
      <sheetName val="COMMISSION  "/>
      <sheetName val="GAIN-LOSS EXCH.RATE"/>
      <sheetName val="ExpensDetai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ASSUMP"/>
      <sheetName val="COVER"/>
      <sheetName val="PL COVER"/>
      <sheetName val="INCOME STM"/>
      <sheetName val="SALES COVER "/>
      <sheetName val="Summary  "/>
      <sheetName val="Boi "/>
      <sheetName val="Non-Boi "/>
      <sheetName val="ADJ. "/>
      <sheetName val="BS COVER "/>
      <sheetName val="BALANCE SHEET "/>
      <sheetName val="CASH FLOW"/>
      <sheetName val="BS ATTACH"/>
      <sheetName val="EXPENSE COVER"/>
      <sheetName val="MORE COVER "/>
      <sheetName val="AR"/>
      <sheetName val="ANALYSIS  SERVIC"/>
      <sheetName val="INVENTORY"/>
      <sheetName val="FG"/>
      <sheetName val="ASSET"/>
      <sheetName val="DEPRE"/>
      <sheetName val="COMMISSION"/>
      <sheetName val="ROYALTY"/>
      <sheetName val="GAIN-LOSS EXCH.RATE"/>
      <sheetName val="INFO ADD#1  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ASSUMP"/>
      <sheetName val="COVER"/>
      <sheetName val="PL COVER"/>
      <sheetName val="INCOME STM"/>
      <sheetName val="SALES COVER "/>
      <sheetName val="Summary  "/>
      <sheetName val="Boi "/>
      <sheetName val="Non-Boi "/>
      <sheetName val="d100147-d100153"/>
      <sheetName val="ADJ. "/>
      <sheetName val="BS COVER "/>
      <sheetName val="BALANCE SHEET "/>
      <sheetName val="CASH FLOW"/>
      <sheetName val="BS ATTACH"/>
      <sheetName val="EXPENSE COVER"/>
      <sheetName val="MORE COVER "/>
      <sheetName val="AR"/>
      <sheetName val="AGING SERVICE AR"/>
      <sheetName val="INVENTORY"/>
      <sheetName val="FG"/>
      <sheetName val="ASSET"/>
      <sheetName val="DEPRE"/>
      <sheetName val="COMMISSION"/>
      <sheetName val="ROYALTY"/>
      <sheetName val="GAIN-LOSS EXCH.RATE"/>
      <sheetName val="INFO ADD#1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CUSTOMER"/>
    </sheetNames>
    <sheetDataSet>
      <sheetData sheetId="0" refreshError="1">
        <row r="1">
          <cell r="A1" t="str">
            <v>01001</v>
          </cell>
        </row>
        <row r="2">
          <cell r="A2" t="str">
            <v>01003</v>
          </cell>
        </row>
        <row r="3">
          <cell r="A3" t="str">
            <v>01003.1</v>
          </cell>
        </row>
        <row r="4">
          <cell r="A4" t="str">
            <v>01004</v>
          </cell>
        </row>
        <row r="5">
          <cell r="A5" t="str">
            <v>01005</v>
          </cell>
        </row>
        <row r="6">
          <cell r="A6" t="str">
            <v>01006</v>
          </cell>
        </row>
        <row r="7">
          <cell r="A7" t="str">
            <v>01007</v>
          </cell>
        </row>
        <row r="8">
          <cell r="A8" t="str">
            <v>01008</v>
          </cell>
        </row>
        <row r="9">
          <cell r="A9" t="str">
            <v>01009</v>
          </cell>
        </row>
        <row r="10">
          <cell r="A10" t="str">
            <v>01014</v>
          </cell>
          <cell r="B10" t="str">
            <v>กรมช่างโยธาทหารอากาศ</v>
          </cell>
        </row>
        <row r="11">
          <cell r="A11" t="str">
            <v>01015</v>
          </cell>
          <cell r="B11" t="str">
            <v>กรมช่างโยธาทหารอากาศ</v>
          </cell>
        </row>
        <row r="12">
          <cell r="A12" t="str">
            <v>03</v>
          </cell>
        </row>
        <row r="13">
          <cell r="A13" t="str">
            <v>04002</v>
          </cell>
        </row>
        <row r="14">
          <cell r="A14" t="str">
            <v>04004</v>
          </cell>
        </row>
        <row r="15">
          <cell r="A15" t="str">
            <v>04005</v>
          </cell>
        </row>
        <row r="16">
          <cell r="A16" t="str">
            <v>04006</v>
          </cell>
        </row>
        <row r="17">
          <cell r="A17" t="str">
            <v>04007</v>
          </cell>
        </row>
        <row r="18">
          <cell r="A18" t="str">
            <v>04008</v>
          </cell>
          <cell r="B18" t="str">
            <v>CALTON INTERNATION (THAILAND)</v>
          </cell>
        </row>
        <row r="19">
          <cell r="A19" t="str">
            <v>04009</v>
          </cell>
          <cell r="B19" t="str">
            <v>SITCA FINANCIAL(COSMO)</v>
          </cell>
        </row>
        <row r="20">
          <cell r="A20" t="str">
            <v>04010</v>
          </cell>
          <cell r="B20" t="str">
            <v>SITCA FINANCIAL(COSMO)</v>
          </cell>
        </row>
        <row r="21">
          <cell r="A21" t="str">
            <v>04011</v>
          </cell>
        </row>
        <row r="22">
          <cell r="A22" t="str">
            <v>04012</v>
          </cell>
        </row>
        <row r="23">
          <cell r="A23" t="str">
            <v>04013</v>
          </cell>
        </row>
        <row r="24">
          <cell r="A24" t="str">
            <v>04014</v>
          </cell>
        </row>
        <row r="25">
          <cell r="A25" t="str">
            <v>04015</v>
          </cell>
        </row>
        <row r="26">
          <cell r="A26" t="str">
            <v>04017</v>
          </cell>
          <cell r="B26" t="str">
            <v>CALCIUM PRODUCTS COMPANY LIMITED</v>
          </cell>
        </row>
        <row r="27">
          <cell r="A27" t="str">
            <v>05001</v>
          </cell>
          <cell r="B27" t="str">
            <v>CALTEX CAMBODIA LIMITED</v>
          </cell>
        </row>
        <row r="28">
          <cell r="A28" t="str">
            <v>05003</v>
          </cell>
          <cell r="B28" t="str">
            <v>PACIFIC FINANCIAL (COSMO)</v>
          </cell>
        </row>
        <row r="29">
          <cell r="A29" t="str">
            <v>05004</v>
          </cell>
        </row>
        <row r="30">
          <cell r="A30" t="str">
            <v>06002</v>
          </cell>
          <cell r="B30" t="str">
            <v>PACIFIC FINANCIAL (COSMO)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ASSUMP"/>
      <sheetName val="COVER"/>
      <sheetName val="PL COVER"/>
      <sheetName val="INCOME STM"/>
      <sheetName val="SALES COVER "/>
      <sheetName val="Summary  "/>
      <sheetName val="Boi "/>
      <sheetName val="Non-Boi "/>
      <sheetName val="d100147-d100153"/>
      <sheetName val="ADJ. "/>
      <sheetName val="BS COVER "/>
      <sheetName val="BALANCE SHEET "/>
      <sheetName val="CASH FLOW"/>
      <sheetName val="BS ATTACH"/>
      <sheetName val="EXPENSE COVER"/>
      <sheetName val="MORE COVER "/>
      <sheetName val="AR"/>
      <sheetName val="AGING SERVICE AR"/>
      <sheetName val="INVENTORY"/>
      <sheetName val="FG"/>
      <sheetName val="ASSET"/>
      <sheetName val="DEPRE"/>
      <sheetName val="COMMISSION"/>
      <sheetName val="ROYALTY"/>
      <sheetName val="GAIN-LOSS EXCH.RATE"/>
      <sheetName val="INFO ADD#1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BALANCE SHEET "/>
    </sheetNames>
    <sheetDataSet>
      <sheetData sheetId="0">
        <row r="12">
          <cell r="C12">
            <v>10423180.720000001</v>
          </cell>
        </row>
        <row r="15">
          <cell r="C15">
            <v>134139031.10000001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******"/>
      <sheetName val="ASSUMP"/>
      <sheetName val="COVER"/>
      <sheetName val="PL COVER"/>
      <sheetName val="INCOME STM"/>
      <sheetName val="SALES COVER "/>
      <sheetName val="Summary  "/>
      <sheetName val="Boi "/>
      <sheetName val="Non-Boi "/>
      <sheetName val="d100147-d100153"/>
      <sheetName val="ADJ. "/>
      <sheetName val="BS COVER "/>
      <sheetName val="BALANCE SHEET "/>
      <sheetName val="CASH FLOW"/>
      <sheetName val="BS ATTACH"/>
      <sheetName val="EXPENSE COVER"/>
      <sheetName val="MORE COVER "/>
      <sheetName val="AR"/>
      <sheetName val="AGING SERVICE AR"/>
      <sheetName val="INVENTORY"/>
      <sheetName val="FG"/>
      <sheetName val="ASSET"/>
      <sheetName val="DEPRE"/>
      <sheetName val="COMMISSION"/>
      <sheetName val="ROYALTY"/>
      <sheetName val="GAIN-LOSS EXCH.RATE"/>
      <sheetName val="INFO ADD#1 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ale Report"/>
      <sheetName val="Back Order 12-99"/>
    </sheetNames>
    <sheetDataSet>
      <sheetData sheetId="0"/>
      <sheetData sheetId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XXXXXX"/>
      <sheetName val="Master"/>
      <sheetName val="Index &amp; Conten"/>
      <sheetName val="Cover"/>
      <sheetName val="Income Cover"/>
      <sheetName val="Cash sweep"/>
      <sheetName val="Income"/>
      <sheetName val="Income 5Y"/>
      <sheetName val="Graph compare 5y"/>
      <sheetName val="Income B_T"/>
      <sheetName val="Income 5Y (2)"/>
      <sheetName val="Income B_T (4Year)"/>
      <sheetName val="Income accu"/>
      <sheetName val="Income accu (K.SB)"/>
      <sheetName val="Income accu (K.SB) (2)"/>
      <sheetName val="TB SAP"/>
      <sheetName val="note20"/>
      <sheetName val="Budget income"/>
      <sheetName val="Budget income B_T"/>
      <sheetName val="BS COVER  "/>
      <sheetName val="asset"/>
      <sheetName val="liabilities"/>
      <sheetName val="asset (Thai)"/>
      <sheetName val="liabilities (Thai)"/>
      <sheetName val="Sharehold"/>
      <sheetName val="note3-5"/>
      <sheetName val="note6-7"/>
      <sheetName val="note 8 "/>
      <sheetName val="note9-13"/>
      <sheetName val="note 14"/>
      <sheetName val="note15-18"/>
      <sheetName val="CF  COVER "/>
      <sheetName val="Operating Exp"/>
      <sheetName val="Gain_Loss"/>
      <sheetName val="PAPER C-FLOW"/>
      <sheetName val="Cash Flow"/>
      <sheetName val="Unrealize"/>
      <sheetName val="Cepex"/>
      <sheetName val="Analysis"/>
      <sheetName val="Sale Price"/>
      <sheetName val="AR Aging"/>
      <sheetName val="AP Aging"/>
      <sheetName val="วิเคราะห์งบการเงิน"/>
      <sheetName val="For bank Cover "/>
      <sheetName val="For bank-Income"/>
      <sheetName val="For bank-asset"/>
      <sheetName val="For bank liabilities"/>
      <sheetName val="For bank-note asset"/>
      <sheetName val="For bank-note liabilities"/>
      <sheetName val="Board AA-Income-Month"/>
      <sheetName val="Board AA-Income-YTD"/>
      <sheetName val="Board AA-asset "/>
      <sheetName val="Board AA-liabilities"/>
      <sheetName val="Sheet1"/>
    </sheetNames>
    <sheetDataSet>
      <sheetData sheetId="0"/>
      <sheetData sheetId="1"/>
      <sheetData sheetId="2">
        <row r="2">
          <cell r="H2" t="str">
            <v>Jan</v>
          </cell>
        </row>
        <row r="3">
          <cell r="H3" t="str">
            <v>Feb</v>
          </cell>
        </row>
        <row r="4">
          <cell r="H4" t="str">
            <v>Mar</v>
          </cell>
        </row>
        <row r="5">
          <cell r="H5" t="str">
            <v>Apr</v>
          </cell>
        </row>
        <row r="6">
          <cell r="H6" t="str">
            <v>May</v>
          </cell>
        </row>
        <row r="7">
          <cell r="H7" t="str">
            <v>Jun</v>
          </cell>
        </row>
        <row r="8">
          <cell r="H8" t="str">
            <v>Jul</v>
          </cell>
        </row>
        <row r="9">
          <cell r="H9" t="str">
            <v>Aug</v>
          </cell>
        </row>
        <row r="10">
          <cell r="H10" t="str">
            <v>Sep</v>
          </cell>
        </row>
        <row r="11">
          <cell r="H11" t="str">
            <v>Oct</v>
          </cell>
        </row>
        <row r="12">
          <cell r="H12" t="str">
            <v>Nov</v>
          </cell>
        </row>
        <row r="13">
          <cell r="H13" t="str">
            <v>Dec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Text"/>
      <sheetName val="Factory"/>
      <sheetName val="Asset"/>
      <sheetName val="Cost center"/>
    </sheetNames>
    <sheetDataSet>
      <sheetData sheetId="0"/>
      <sheetData sheetId="1"/>
      <sheetData sheetId="2"/>
      <sheetData sheetId="3">
        <row r="73">
          <cell r="A73" t="str">
            <v>2B3714</v>
          </cell>
        </row>
        <row r="74">
          <cell r="A74" t="str">
            <v>2T3114</v>
          </cell>
        </row>
        <row r="75">
          <cell r="A75" t="str">
            <v>2T3141</v>
          </cell>
        </row>
        <row r="76">
          <cell r="A76" t="str">
            <v>2T3155</v>
          </cell>
        </row>
        <row r="77">
          <cell r="A77" t="str">
            <v>2T3463</v>
          </cell>
        </row>
        <row r="78">
          <cell r="A78" t="str">
            <v>2T3712</v>
          </cell>
        </row>
        <row r="79">
          <cell r="A79" t="str">
            <v>2T3719</v>
          </cell>
        </row>
        <row r="80">
          <cell r="A80" t="str">
            <v>2T4514</v>
          </cell>
        </row>
        <row r="81">
          <cell r="A81" t="str">
            <v>2T4515</v>
          </cell>
        </row>
        <row r="82">
          <cell r="A82" t="str">
            <v>2T4522</v>
          </cell>
        </row>
        <row r="83">
          <cell r="A83" t="str">
            <v>2T4531</v>
          </cell>
        </row>
        <row r="84">
          <cell r="A84" t="str">
            <v>2T4547</v>
          </cell>
        </row>
        <row r="85">
          <cell r="A85" t="str">
            <v>2T4548</v>
          </cell>
        </row>
        <row r="86">
          <cell r="A86" t="str">
            <v>2T4552</v>
          </cell>
        </row>
        <row r="87">
          <cell r="A87" t="str">
            <v>2T4553</v>
          </cell>
        </row>
        <row r="88">
          <cell r="A88" t="str">
            <v>2T4570</v>
          </cell>
        </row>
        <row r="89">
          <cell r="A89" t="str">
            <v>2T4591</v>
          </cell>
        </row>
        <row r="90">
          <cell r="A90" t="str">
            <v>2T4611</v>
          </cell>
        </row>
        <row r="91">
          <cell r="A91" t="str">
            <v>2T4612</v>
          </cell>
        </row>
        <row r="92">
          <cell r="A92" t="str">
            <v>2T4613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ndex"/>
      <sheetName val="TB"/>
      <sheetName val="PL สะสม2548"/>
      <sheetName val="เปรียบเทียบ คชจ. 6-7xxx"/>
      <sheetName val="เปรียบเทียบ คชจ. 8xx"/>
      <sheetName val="เปรียบเทียบ คชจ. 6-7-8"/>
      <sheetName val="เปรียบเทียบ คชจ. 6-7(ปรับใหม่)"/>
      <sheetName val="เปรียบเทียบ คชจ. 8 (ปรับใหม่)"/>
      <sheetName val="ข้อมูลฐาน"/>
      <sheetName val="PL สะสม2548 (2)"/>
      <sheetName val="PL สะสม2548 (3)"/>
      <sheetName val="Income"/>
      <sheetName val="ขาย"/>
      <sheetName val="ค่าแรงทางตรง"/>
      <sheetName val="โสหุ้ย"/>
      <sheetName val="ขายและบริหาร"/>
      <sheetName val="PL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2">
          <cell r="B2" t="str">
            <v>มกราคม</v>
          </cell>
        </row>
        <row r="3">
          <cell r="B3" t="str">
            <v>กุมภาพันธ์</v>
          </cell>
        </row>
        <row r="4">
          <cell r="B4" t="str">
            <v>มีนาคม</v>
          </cell>
        </row>
        <row r="5">
          <cell r="B5" t="str">
            <v>เมษายน</v>
          </cell>
        </row>
        <row r="6">
          <cell r="B6" t="str">
            <v>พฤษภาคม</v>
          </cell>
        </row>
        <row r="7">
          <cell r="B7" t="str">
            <v>มิถุนายน</v>
          </cell>
        </row>
        <row r="8">
          <cell r="B8" t="str">
            <v>กรกฎาคม</v>
          </cell>
        </row>
        <row r="9">
          <cell r="B9" t="str">
            <v>สิงหาคม</v>
          </cell>
        </row>
        <row r="10">
          <cell r="B10" t="str">
            <v>กันยายน</v>
          </cell>
        </row>
        <row r="11">
          <cell r="B11" t="str">
            <v>ตุลาคม</v>
          </cell>
        </row>
        <row r="12">
          <cell r="B12" t="str">
            <v>พฤศจิกายน</v>
          </cell>
        </row>
        <row r="13">
          <cell r="B13" t="str">
            <v>ธันวาคม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F13"/>
  <sheetViews>
    <sheetView tabSelected="1" zoomScale="120" zoomScaleNormal="120" workbookViewId="0">
      <selection activeCell="F12" sqref="F12"/>
    </sheetView>
  </sheetViews>
  <sheetFormatPr defaultRowHeight="12.75"/>
  <cols>
    <col min="1" max="1" width="0.28515625" style="104" customWidth="1"/>
    <col min="2" max="10" width="14.7109375" style="104" customWidth="1"/>
    <col min="11" max="16384" width="9.140625" style="104"/>
  </cols>
  <sheetData>
    <row r="1" spans="2:6" ht="8.25" customHeight="1"/>
    <row r="2" spans="2:6" ht="24" customHeight="1" thickBot="1">
      <c r="B2" s="275" t="s">
        <v>221</v>
      </c>
      <c r="C2" s="275"/>
      <c r="D2" s="275"/>
      <c r="E2" s="275"/>
      <c r="F2" s="275"/>
    </row>
    <row r="3" spans="2:6" s="108" customFormat="1" ht="25.5">
      <c r="B3" s="105"/>
      <c r="C3" s="106" t="s">
        <v>225</v>
      </c>
      <c r="D3" s="107" t="s">
        <v>226</v>
      </c>
      <c r="E3" s="107" t="s">
        <v>212</v>
      </c>
      <c r="F3" s="117" t="s">
        <v>227</v>
      </c>
    </row>
    <row r="4" spans="2:6" s="108" customFormat="1" ht="24" customHeight="1">
      <c r="B4" s="273" t="s">
        <v>75</v>
      </c>
      <c r="C4" s="118"/>
      <c r="D4" s="261" t="s">
        <v>90</v>
      </c>
      <c r="E4" s="109">
        <f>'On-Time Delivery Data'!O63</f>
        <v>0.98941798941798942</v>
      </c>
      <c r="F4" s="119" t="s">
        <v>90</v>
      </c>
    </row>
    <row r="5" spans="2:6" s="108" customFormat="1" ht="24" customHeight="1">
      <c r="B5" s="273" t="s">
        <v>76</v>
      </c>
      <c r="C5" s="118"/>
      <c r="D5" s="261" t="s">
        <v>90</v>
      </c>
      <c r="E5" s="109">
        <f>'First-Pass-Yield'!O37</f>
        <v>0.91673565438912563</v>
      </c>
      <c r="F5" s="119" t="s">
        <v>90</v>
      </c>
    </row>
    <row r="6" spans="2:6" s="108" customFormat="1" ht="24" customHeight="1">
      <c r="B6" s="273" t="s">
        <v>77</v>
      </c>
      <c r="C6" s="118"/>
      <c r="D6" s="261" t="s">
        <v>90</v>
      </c>
      <c r="E6" s="109">
        <f>'Cum-Yield'!O44</f>
        <v>0.95102029289418566</v>
      </c>
      <c r="F6" s="119" t="s">
        <v>90</v>
      </c>
    </row>
    <row r="7" spans="2:6" s="108" customFormat="1" ht="24" customHeight="1">
      <c r="B7" s="273" t="s">
        <v>78</v>
      </c>
      <c r="C7" s="118"/>
      <c r="D7" s="261" t="s">
        <v>90</v>
      </c>
      <c r="E7" s="109" t="e">
        <f>#REF!</f>
        <v>#REF!</v>
      </c>
      <c r="F7" s="119" t="s">
        <v>90</v>
      </c>
    </row>
    <row r="8" spans="2:6" s="108" customFormat="1" ht="24" customHeight="1" thickBot="1">
      <c r="B8" s="110" t="s">
        <v>79</v>
      </c>
      <c r="C8" s="111"/>
      <c r="D8" s="112" t="s">
        <v>82</v>
      </c>
      <c r="E8" s="181" t="s">
        <v>82</v>
      </c>
      <c r="F8" s="120" t="s">
        <v>82</v>
      </c>
    </row>
    <row r="9" spans="2:6" s="108" customFormat="1">
      <c r="C9" s="113"/>
      <c r="D9" s="113"/>
      <c r="E9" s="113"/>
    </row>
    <row r="10" spans="2:6" s="108" customFormat="1">
      <c r="B10" s="274" t="s">
        <v>84</v>
      </c>
      <c r="C10" s="274"/>
      <c r="D10" s="274"/>
      <c r="E10" s="274"/>
    </row>
    <row r="11" spans="2:6" s="108" customFormat="1">
      <c r="B11" s="277" t="s">
        <v>197</v>
      </c>
      <c r="C11" s="274"/>
      <c r="D11" s="274"/>
      <c r="E11" s="274"/>
    </row>
    <row r="12" spans="2:6" s="108" customFormat="1" ht="24" customHeight="1">
      <c r="B12" s="274" t="s">
        <v>83</v>
      </c>
      <c r="C12" s="274"/>
      <c r="D12" s="274"/>
      <c r="E12" s="274"/>
    </row>
    <row r="13" spans="2:6" s="108" customFormat="1" ht="22.5" customHeight="1">
      <c r="B13" s="276"/>
      <c r="C13" s="276"/>
      <c r="D13" s="113"/>
      <c r="E13" s="113"/>
    </row>
  </sheetData>
  <mergeCells count="5">
    <mergeCell ref="B10:E10"/>
    <mergeCell ref="B12:E12"/>
    <mergeCell ref="B2:F2"/>
    <mergeCell ref="B13:C13"/>
    <mergeCell ref="B11:E11"/>
  </mergeCells>
  <phoneticPr fontId="0" type="noConversion"/>
  <conditionalFormatting sqref="E4:E6">
    <cfRule type="cellIs" dxfId="11" priority="1" stopIfTrue="1" operator="greaterThanOrEqual">
      <formula>$D4</formula>
    </cfRule>
    <cfRule type="cellIs" dxfId="10" priority="2" stopIfTrue="1" operator="lessThan">
      <formula>$D4</formula>
    </cfRule>
  </conditionalFormatting>
  <conditionalFormatting sqref="E7">
    <cfRule type="cellIs" dxfId="9" priority="3" stopIfTrue="1" operator="lessThanOrEqual">
      <formula>$D7</formula>
    </cfRule>
    <cfRule type="cellIs" dxfId="8" priority="4" stopIfTrue="1" operator="greaterThan">
      <formula>$D7</formula>
    </cfRule>
  </conditionalFormatting>
  <conditionalFormatting sqref="E8">
    <cfRule type="cellIs" dxfId="7" priority="5" stopIfTrue="1" operator="equal">
      <formula>"Zero"</formula>
    </cfRule>
    <cfRule type="cellIs" dxfId="6" priority="6" stopIfTrue="1" operator="notEqual">
      <formula>"Zero"</formula>
    </cfRule>
  </conditionalFormatting>
  <hyperlinks>
    <hyperlink ref="B6" location="'Cum-Yield'!A1" display="CUM YIELD"/>
    <hyperlink ref="B7" location="'RA Data'!A1" display="RA's"/>
    <hyperlink ref="B4" location="'On-Time Delivery Data'!A1" display="OTD"/>
    <hyperlink ref="B5" location="'First-Pass-Yield'!A1" display="FPY"/>
  </hyperlinks>
  <pageMargins left="0.75" right="0.75" top="1" bottom="1" header="0.5" footer="0.5"/>
  <pageSetup paperSize="9" scale="17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 enableFormatConditionsCalculation="0">
    <tabColor indexed="17"/>
  </sheetPr>
  <dimension ref="A1:S80"/>
  <sheetViews>
    <sheetView zoomScale="90" zoomScaleNormal="9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3" sqref="A3"/>
    </sheetView>
  </sheetViews>
  <sheetFormatPr defaultRowHeight="12.75"/>
  <cols>
    <col min="1" max="1" width="32.85546875" customWidth="1"/>
    <col min="2" max="4" width="11.140625" customWidth="1"/>
    <col min="5" max="5" width="10.140625" customWidth="1"/>
    <col min="6" max="6" width="9.85546875" customWidth="1"/>
    <col min="7" max="7" width="10.140625" customWidth="1"/>
    <col min="8" max="9" width="9.85546875" customWidth="1"/>
    <col min="10" max="11" width="10" customWidth="1"/>
    <col min="12" max="14" width="10.28515625" customWidth="1"/>
    <col min="15" max="15" width="10.85546875" customWidth="1"/>
  </cols>
  <sheetData>
    <row r="1" spans="1:19">
      <c r="A1" s="1" t="s">
        <v>0</v>
      </c>
    </row>
    <row r="2" spans="1:19">
      <c r="B2" s="54">
        <v>27</v>
      </c>
      <c r="C2" s="116">
        <f>B2+1</f>
        <v>28</v>
      </c>
      <c r="D2" s="116">
        <f t="shared" ref="D2:L2" si="0">C2+1</f>
        <v>29</v>
      </c>
      <c r="E2" s="116">
        <f t="shared" si="0"/>
        <v>30</v>
      </c>
      <c r="F2" s="116">
        <f t="shared" si="0"/>
        <v>31</v>
      </c>
      <c r="G2" s="116">
        <f t="shared" si="0"/>
        <v>32</v>
      </c>
      <c r="H2" s="116">
        <f t="shared" si="0"/>
        <v>33</v>
      </c>
      <c r="I2" s="116">
        <f t="shared" si="0"/>
        <v>34</v>
      </c>
      <c r="J2" s="116">
        <f t="shared" si="0"/>
        <v>35</v>
      </c>
      <c r="K2" s="116">
        <f t="shared" si="0"/>
        <v>36</v>
      </c>
      <c r="L2" s="116">
        <f t="shared" si="0"/>
        <v>37</v>
      </c>
      <c r="M2" s="116">
        <f>L2+1</f>
        <v>38</v>
      </c>
      <c r="N2" s="116">
        <f>M2+1</f>
        <v>39</v>
      </c>
      <c r="O2" s="55"/>
    </row>
    <row r="3" spans="1:19">
      <c r="A3" s="81" t="s">
        <v>228</v>
      </c>
      <c r="B3" s="59">
        <v>40914</v>
      </c>
      <c r="C3" s="59">
        <f>+B3+7</f>
        <v>40921</v>
      </c>
      <c r="D3" s="59">
        <f t="shared" ref="D3:L3" si="1">+C3+7</f>
        <v>40928</v>
      </c>
      <c r="E3" s="59">
        <f t="shared" si="1"/>
        <v>40935</v>
      </c>
      <c r="F3" s="59">
        <f t="shared" si="1"/>
        <v>40942</v>
      </c>
      <c r="G3" s="59">
        <f t="shared" si="1"/>
        <v>40949</v>
      </c>
      <c r="H3" s="59">
        <f t="shared" si="1"/>
        <v>40956</v>
      </c>
      <c r="I3" s="59">
        <f t="shared" si="1"/>
        <v>40963</v>
      </c>
      <c r="J3" s="59">
        <f t="shared" si="1"/>
        <v>40970</v>
      </c>
      <c r="K3" s="59">
        <f t="shared" si="1"/>
        <v>40977</v>
      </c>
      <c r="L3" s="59">
        <f t="shared" si="1"/>
        <v>40984</v>
      </c>
      <c r="M3" s="59">
        <f>+L3+7</f>
        <v>40991</v>
      </c>
      <c r="N3" s="59">
        <f>+M3+7</f>
        <v>40998</v>
      </c>
      <c r="O3" s="56" t="s">
        <v>1</v>
      </c>
      <c r="Q3" s="2"/>
      <c r="S3" s="2"/>
    </row>
    <row r="4" spans="1:19" ht="18">
      <c r="A4" s="4" t="s">
        <v>29</v>
      </c>
    </row>
    <row r="5" spans="1:19">
      <c r="A5" s="1" t="s">
        <v>2</v>
      </c>
    </row>
    <row r="6" spans="1:19">
      <c r="A6" t="s">
        <v>3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3000</v>
      </c>
      <c r="M6" s="5">
        <v>120000</v>
      </c>
      <c r="N6" s="5">
        <v>700000</v>
      </c>
      <c r="O6" s="6">
        <f>SUM(B6:N6)</f>
        <v>823000</v>
      </c>
    </row>
    <row r="7" spans="1:19">
      <c r="A7" t="s">
        <v>4</v>
      </c>
      <c r="B7" s="77">
        <v>0</v>
      </c>
      <c r="C7" s="77">
        <v>0</v>
      </c>
      <c r="D7" s="77">
        <v>0</v>
      </c>
      <c r="E7" s="77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3000</v>
      </c>
      <c r="M7" s="5">
        <v>120000</v>
      </c>
      <c r="N7" s="5">
        <v>700200</v>
      </c>
      <c r="O7" s="6">
        <f>SUM(B7:N7)</f>
        <v>823200</v>
      </c>
    </row>
    <row r="8" spans="1:19">
      <c r="A8" s="61" t="s">
        <v>5</v>
      </c>
      <c r="B8" s="57" t="e">
        <f>B7/B6</f>
        <v>#DIV/0!</v>
      </c>
      <c r="C8" s="57" t="e">
        <f>C7/C6</f>
        <v>#DIV/0!</v>
      </c>
      <c r="D8" s="57" t="e">
        <f t="shared" ref="D8:N8" si="2">D7/D6</f>
        <v>#DIV/0!</v>
      </c>
      <c r="E8" s="57" t="e">
        <f t="shared" si="2"/>
        <v>#DIV/0!</v>
      </c>
      <c r="F8" s="57" t="e">
        <f t="shared" si="2"/>
        <v>#DIV/0!</v>
      </c>
      <c r="G8" s="57" t="e">
        <f t="shared" si="2"/>
        <v>#DIV/0!</v>
      </c>
      <c r="H8" s="57" t="e">
        <f t="shared" si="2"/>
        <v>#DIV/0!</v>
      </c>
      <c r="I8" s="57" t="e">
        <f t="shared" si="2"/>
        <v>#DIV/0!</v>
      </c>
      <c r="J8" s="57" t="e">
        <f t="shared" si="2"/>
        <v>#DIV/0!</v>
      </c>
      <c r="K8" s="57" t="e">
        <f t="shared" si="2"/>
        <v>#DIV/0!</v>
      </c>
      <c r="L8" s="57">
        <f t="shared" si="2"/>
        <v>1</v>
      </c>
      <c r="M8" s="57">
        <f t="shared" si="2"/>
        <v>1</v>
      </c>
      <c r="N8" s="57">
        <f t="shared" si="2"/>
        <v>1.0002857142857142</v>
      </c>
      <c r="O8" s="57">
        <f>O7/O6</f>
        <v>1.0002430133657352</v>
      </c>
    </row>
    <row r="10" spans="1:19">
      <c r="A10" s="1" t="s">
        <v>6</v>
      </c>
      <c r="B10" s="89"/>
      <c r="C10" s="89"/>
      <c r="D10" s="89"/>
      <c r="L10" s="5"/>
      <c r="M10" s="5"/>
      <c r="N10" s="5"/>
    </row>
    <row r="11" spans="1:19">
      <c r="A11" t="s">
        <v>3</v>
      </c>
      <c r="B11" s="91">
        <v>0</v>
      </c>
      <c r="C11" s="91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2</v>
      </c>
      <c r="N11" s="5">
        <v>1</v>
      </c>
      <c r="O11" s="6">
        <f>SUM(B11:N11)</f>
        <v>4</v>
      </c>
    </row>
    <row r="12" spans="1:19">
      <c r="A12" t="s">
        <v>4</v>
      </c>
      <c r="B12" s="91">
        <v>0</v>
      </c>
      <c r="C12" s="91">
        <v>0</v>
      </c>
      <c r="D12" s="77">
        <v>0</v>
      </c>
      <c r="E12" s="77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1</v>
      </c>
      <c r="M12" s="5">
        <v>2</v>
      </c>
      <c r="N12" s="5">
        <v>1</v>
      </c>
      <c r="O12" s="6">
        <f>SUM(B12:N12)</f>
        <v>4</v>
      </c>
    </row>
    <row r="13" spans="1:19" ht="13.5" thickBot="1">
      <c r="A13" s="62" t="s">
        <v>5</v>
      </c>
      <c r="B13" s="63" t="e">
        <f t="shared" ref="B13:N13" si="3">B12/B11</f>
        <v>#DIV/0!</v>
      </c>
      <c r="C13" s="63" t="e">
        <f t="shared" si="3"/>
        <v>#DIV/0!</v>
      </c>
      <c r="D13" s="63" t="e">
        <f t="shared" si="3"/>
        <v>#DIV/0!</v>
      </c>
      <c r="E13" s="63" t="e">
        <f t="shared" si="3"/>
        <v>#DIV/0!</v>
      </c>
      <c r="F13" s="63" t="e">
        <f t="shared" si="3"/>
        <v>#DIV/0!</v>
      </c>
      <c r="G13" s="63" t="e">
        <f t="shared" si="3"/>
        <v>#DIV/0!</v>
      </c>
      <c r="H13" s="63" t="e">
        <f t="shared" si="3"/>
        <v>#DIV/0!</v>
      </c>
      <c r="I13" s="63" t="e">
        <f t="shared" si="3"/>
        <v>#DIV/0!</v>
      </c>
      <c r="J13" s="63" t="e">
        <f t="shared" si="3"/>
        <v>#DIV/0!</v>
      </c>
      <c r="K13" s="63" t="e">
        <f t="shared" si="3"/>
        <v>#DIV/0!</v>
      </c>
      <c r="L13" s="63">
        <f t="shared" si="3"/>
        <v>1</v>
      </c>
      <c r="M13" s="63">
        <f t="shared" si="3"/>
        <v>1</v>
      </c>
      <c r="N13" s="63">
        <f t="shared" si="3"/>
        <v>1</v>
      </c>
      <c r="O13" s="63">
        <f>O12/O11</f>
        <v>1</v>
      </c>
    </row>
    <row r="14" spans="1:19" ht="8.25" customHeight="1" thickTop="1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9" ht="18">
      <c r="A15" s="4" t="s">
        <v>8</v>
      </c>
    </row>
    <row r="16" spans="1:19">
      <c r="A16" s="1" t="s">
        <v>2</v>
      </c>
    </row>
    <row r="17" spans="1:15">
      <c r="A17" t="s">
        <v>3</v>
      </c>
      <c r="B17" s="5">
        <f>1284650-650</f>
        <v>1284000</v>
      </c>
      <c r="C17" s="91">
        <v>1260000</v>
      </c>
      <c r="D17" s="5">
        <v>1260000</v>
      </c>
      <c r="E17" s="5">
        <v>1260000</v>
      </c>
      <c r="F17" s="77">
        <v>1260000</v>
      </c>
      <c r="G17" s="77">
        <v>1260000</v>
      </c>
      <c r="H17" s="77">
        <v>1260000</v>
      </c>
      <c r="I17" s="5">
        <v>1260000</v>
      </c>
      <c r="J17" s="5">
        <v>1260000</v>
      </c>
      <c r="K17" s="5">
        <v>1260000</v>
      </c>
      <c r="L17" s="5">
        <v>1284000</v>
      </c>
      <c r="M17" s="5">
        <v>1260000</v>
      </c>
      <c r="N17" s="5">
        <v>2260000</v>
      </c>
      <c r="O17" s="6">
        <f>SUM(B17:N17)</f>
        <v>17428000</v>
      </c>
    </row>
    <row r="18" spans="1:15">
      <c r="A18" t="s">
        <v>4</v>
      </c>
      <c r="B18" s="77">
        <f>1285550-650</f>
        <v>1284900</v>
      </c>
      <c r="C18" s="91">
        <v>1260940</v>
      </c>
      <c r="D18" s="77">
        <v>1268050</v>
      </c>
      <c r="E18" s="77">
        <v>1268100</v>
      </c>
      <c r="F18" s="5">
        <v>1264647</v>
      </c>
      <c r="G18" s="5">
        <v>1264080</v>
      </c>
      <c r="H18" s="5">
        <v>1258020</v>
      </c>
      <c r="I18" s="5">
        <f>1280700-10200-10200</f>
        <v>1260300</v>
      </c>
      <c r="J18" s="5">
        <v>1260900</v>
      </c>
      <c r="K18" s="5">
        <v>1260000</v>
      </c>
      <c r="L18" s="5">
        <v>1284000</v>
      </c>
      <c r="M18" s="5">
        <v>1275600</v>
      </c>
      <c r="N18" s="5">
        <v>2260710</v>
      </c>
      <c r="O18" s="6">
        <f>SUM(B18:N18)</f>
        <v>17470247</v>
      </c>
    </row>
    <row r="19" spans="1:15">
      <c r="A19" s="61" t="s">
        <v>5</v>
      </c>
      <c r="B19" s="57">
        <f t="shared" ref="B19:N19" si="4">B18/B17</f>
        <v>1.0007009345794393</v>
      </c>
      <c r="C19" s="57">
        <f t="shared" si="4"/>
        <v>1.0007460317460317</v>
      </c>
      <c r="D19" s="57">
        <f t="shared" si="4"/>
        <v>1.006388888888889</v>
      </c>
      <c r="E19" s="57">
        <f t="shared" si="4"/>
        <v>1.0064285714285715</v>
      </c>
      <c r="F19" s="57">
        <f t="shared" si="4"/>
        <v>1.0036880952380953</v>
      </c>
      <c r="G19" s="57">
        <f t="shared" si="4"/>
        <v>1.0032380952380953</v>
      </c>
      <c r="H19" s="57">
        <f t="shared" si="4"/>
        <v>0.99842857142857144</v>
      </c>
      <c r="I19" s="57">
        <f t="shared" si="4"/>
        <v>1.0002380952380951</v>
      </c>
      <c r="J19" s="57">
        <f t="shared" si="4"/>
        <v>1.0007142857142857</v>
      </c>
      <c r="K19" s="57">
        <f t="shared" si="4"/>
        <v>1</v>
      </c>
      <c r="L19" s="57">
        <f t="shared" si="4"/>
        <v>1</v>
      </c>
      <c r="M19" s="57">
        <f t="shared" si="4"/>
        <v>1.0123809523809524</v>
      </c>
      <c r="N19" s="57">
        <f t="shared" si="4"/>
        <v>1.0003141592920355</v>
      </c>
      <c r="O19" s="57">
        <f>O18/O17</f>
        <v>1.0024240876750057</v>
      </c>
    </row>
    <row r="20" spans="1:15">
      <c r="B20" s="89"/>
      <c r="C20" s="89"/>
      <c r="D20" s="89"/>
    </row>
    <row r="21" spans="1:15">
      <c r="A21" s="1" t="s">
        <v>6</v>
      </c>
      <c r="B21" s="89"/>
      <c r="C21" s="89"/>
      <c r="D21" s="89"/>
    </row>
    <row r="22" spans="1:15">
      <c r="A22" t="s">
        <v>3</v>
      </c>
      <c r="B22" s="91">
        <v>6</v>
      </c>
      <c r="C22" s="91">
        <v>2</v>
      </c>
      <c r="D22" s="5">
        <v>2</v>
      </c>
      <c r="E22" s="91">
        <v>2</v>
      </c>
      <c r="F22" s="5">
        <v>2</v>
      </c>
      <c r="G22" s="5">
        <v>2</v>
      </c>
      <c r="H22" s="5">
        <v>2</v>
      </c>
      <c r="I22" s="5">
        <v>2</v>
      </c>
      <c r="J22" s="5">
        <v>2</v>
      </c>
      <c r="K22" s="5">
        <v>2</v>
      </c>
      <c r="L22" s="5">
        <v>4</v>
      </c>
      <c r="M22" s="5">
        <v>2</v>
      </c>
      <c r="N22" s="5">
        <v>4</v>
      </c>
      <c r="O22" s="6">
        <f>SUM(B22:N22)</f>
        <v>34</v>
      </c>
    </row>
    <row r="23" spans="1:15">
      <c r="A23" t="s">
        <v>4</v>
      </c>
      <c r="B23" s="91">
        <v>6</v>
      </c>
      <c r="C23" s="91">
        <v>2</v>
      </c>
      <c r="D23" s="77">
        <v>2</v>
      </c>
      <c r="E23" s="91">
        <v>2</v>
      </c>
      <c r="F23" s="5">
        <v>2</v>
      </c>
      <c r="G23" s="5">
        <v>2</v>
      </c>
      <c r="H23" s="5">
        <v>2</v>
      </c>
      <c r="I23" s="5">
        <v>2</v>
      </c>
      <c r="J23" s="5">
        <v>2</v>
      </c>
      <c r="K23" s="5">
        <v>2</v>
      </c>
      <c r="L23" s="5">
        <v>4</v>
      </c>
      <c r="M23" s="5">
        <v>2</v>
      </c>
      <c r="N23" s="5">
        <v>4</v>
      </c>
      <c r="O23" s="6">
        <f>SUM(B23:N23)</f>
        <v>34</v>
      </c>
    </row>
    <row r="24" spans="1:15" ht="13.5" thickBot="1">
      <c r="A24" s="62" t="s">
        <v>5</v>
      </c>
      <c r="B24" s="63">
        <f t="shared" ref="B24:N24" si="5">B23/B22</f>
        <v>1</v>
      </c>
      <c r="C24" s="63">
        <f t="shared" si="5"/>
        <v>1</v>
      </c>
      <c r="D24" s="63">
        <f t="shared" si="5"/>
        <v>1</v>
      </c>
      <c r="E24" s="63">
        <f t="shared" si="5"/>
        <v>1</v>
      </c>
      <c r="F24" s="63">
        <f t="shared" si="5"/>
        <v>1</v>
      </c>
      <c r="G24" s="63">
        <f t="shared" si="5"/>
        <v>1</v>
      </c>
      <c r="H24" s="63">
        <f t="shared" si="5"/>
        <v>1</v>
      </c>
      <c r="I24" s="63">
        <f t="shared" si="5"/>
        <v>1</v>
      </c>
      <c r="J24" s="63">
        <f t="shared" si="5"/>
        <v>1</v>
      </c>
      <c r="K24" s="63">
        <f t="shared" si="5"/>
        <v>1</v>
      </c>
      <c r="L24" s="63">
        <f t="shared" si="5"/>
        <v>1</v>
      </c>
      <c r="M24" s="63">
        <f t="shared" si="5"/>
        <v>1</v>
      </c>
      <c r="N24" s="63">
        <f t="shared" si="5"/>
        <v>1</v>
      </c>
      <c r="O24" s="63">
        <f>O23/O22</f>
        <v>1</v>
      </c>
    </row>
    <row r="25" spans="1:15" ht="8.25" customHeight="1" thickTop="1">
      <c r="A25" s="7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1:15" ht="18">
      <c r="A26" s="4" t="s">
        <v>30</v>
      </c>
    </row>
    <row r="27" spans="1:15">
      <c r="A27" s="1" t="s">
        <v>2</v>
      </c>
    </row>
    <row r="28" spans="1:15">
      <c r="A28" t="s">
        <v>3</v>
      </c>
      <c r="B28" s="5">
        <v>0</v>
      </c>
      <c r="C28" s="5">
        <v>0</v>
      </c>
      <c r="D28" s="5">
        <v>0</v>
      </c>
      <c r="E28" s="5">
        <v>0</v>
      </c>
      <c r="F28" s="5">
        <v>67800</v>
      </c>
      <c r="G28" s="5">
        <v>0</v>
      </c>
      <c r="H28" s="5">
        <v>0</v>
      </c>
      <c r="I28" s="77">
        <v>0</v>
      </c>
      <c r="J28" s="5">
        <f>810300-350</f>
        <v>809950</v>
      </c>
      <c r="K28" s="5">
        <f>45700-2000</f>
        <v>43700</v>
      </c>
      <c r="L28" s="5">
        <v>0</v>
      </c>
      <c r="M28" s="5">
        <v>600000</v>
      </c>
      <c r="N28" s="5">
        <v>939000</v>
      </c>
      <c r="O28" s="6">
        <f>SUM(B28:N28)</f>
        <v>2460450</v>
      </c>
    </row>
    <row r="29" spans="1:15">
      <c r="A29" t="s">
        <v>4</v>
      </c>
      <c r="B29" s="77">
        <v>0</v>
      </c>
      <c r="C29" s="77">
        <v>0</v>
      </c>
      <c r="D29" s="77">
        <v>0</v>
      </c>
      <c r="E29" s="77">
        <v>0</v>
      </c>
      <c r="F29" s="5">
        <v>67800</v>
      </c>
      <c r="G29" s="5">
        <v>0</v>
      </c>
      <c r="H29" s="5">
        <v>0</v>
      </c>
      <c r="I29" s="77">
        <v>0</v>
      </c>
      <c r="J29" s="5">
        <f>810300-350</f>
        <v>809950</v>
      </c>
      <c r="K29" s="5">
        <f>45700-2000</f>
        <v>43700</v>
      </c>
      <c r="L29" s="5">
        <v>0</v>
      </c>
      <c r="M29" s="5">
        <v>600000</v>
      </c>
      <c r="N29" s="5">
        <v>939000</v>
      </c>
      <c r="O29" s="6">
        <f>SUM(B29:N29)</f>
        <v>2460450</v>
      </c>
    </row>
    <row r="30" spans="1:15">
      <c r="A30" s="61" t="s">
        <v>5</v>
      </c>
      <c r="B30" s="57" t="e">
        <f t="shared" ref="B30:N30" si="6">B29/B28</f>
        <v>#DIV/0!</v>
      </c>
      <c r="C30" s="57" t="e">
        <f t="shared" si="6"/>
        <v>#DIV/0!</v>
      </c>
      <c r="D30" s="57" t="e">
        <f t="shared" si="6"/>
        <v>#DIV/0!</v>
      </c>
      <c r="E30" s="57" t="e">
        <f t="shared" si="6"/>
        <v>#DIV/0!</v>
      </c>
      <c r="F30" s="57">
        <f t="shared" si="6"/>
        <v>1</v>
      </c>
      <c r="G30" s="57" t="e">
        <f t="shared" si="6"/>
        <v>#DIV/0!</v>
      </c>
      <c r="H30" s="57" t="e">
        <f t="shared" si="6"/>
        <v>#DIV/0!</v>
      </c>
      <c r="I30" s="57" t="e">
        <f t="shared" si="6"/>
        <v>#DIV/0!</v>
      </c>
      <c r="J30" s="57">
        <f t="shared" si="6"/>
        <v>1</v>
      </c>
      <c r="K30" s="57">
        <f t="shared" si="6"/>
        <v>1</v>
      </c>
      <c r="L30" s="57" t="e">
        <f t="shared" si="6"/>
        <v>#DIV/0!</v>
      </c>
      <c r="M30" s="57">
        <f t="shared" si="6"/>
        <v>1</v>
      </c>
      <c r="N30" s="57">
        <f t="shared" si="6"/>
        <v>1</v>
      </c>
      <c r="O30" s="57">
        <f>O29/O28</f>
        <v>1</v>
      </c>
    </row>
    <row r="32" spans="1:15">
      <c r="A32" s="1" t="s">
        <v>6</v>
      </c>
      <c r="B32" s="89"/>
      <c r="C32" s="89"/>
      <c r="D32" s="89"/>
    </row>
    <row r="33" spans="1:17">
      <c r="A33" t="s">
        <v>3</v>
      </c>
      <c r="B33" s="91">
        <v>0</v>
      </c>
      <c r="C33" s="91">
        <v>0</v>
      </c>
      <c r="D33" s="5">
        <v>0</v>
      </c>
      <c r="E33" s="5">
        <v>0</v>
      </c>
      <c r="F33" s="5">
        <v>3</v>
      </c>
      <c r="G33" s="5">
        <v>0</v>
      </c>
      <c r="H33" s="5">
        <v>0</v>
      </c>
      <c r="I33" s="77">
        <v>0</v>
      </c>
      <c r="J33" s="5">
        <v>8</v>
      </c>
      <c r="K33" s="5">
        <v>12</v>
      </c>
      <c r="L33" s="5">
        <v>0</v>
      </c>
      <c r="M33" s="5">
        <v>6</v>
      </c>
      <c r="N33" s="5">
        <v>9</v>
      </c>
      <c r="O33" s="6">
        <f>SUM(B33:N33)</f>
        <v>38</v>
      </c>
    </row>
    <row r="34" spans="1:17">
      <c r="A34" t="s">
        <v>4</v>
      </c>
      <c r="B34" s="91">
        <v>0</v>
      </c>
      <c r="C34" s="91">
        <v>0</v>
      </c>
      <c r="D34" s="77">
        <v>0</v>
      </c>
      <c r="E34" s="77">
        <v>0</v>
      </c>
      <c r="F34" s="5">
        <v>3</v>
      </c>
      <c r="G34" s="5">
        <v>0</v>
      </c>
      <c r="H34" s="5">
        <v>0</v>
      </c>
      <c r="I34" s="77">
        <v>0</v>
      </c>
      <c r="J34" s="5">
        <v>8</v>
      </c>
      <c r="K34" s="5">
        <v>12</v>
      </c>
      <c r="L34" s="5">
        <v>0</v>
      </c>
      <c r="M34" s="5">
        <v>6</v>
      </c>
      <c r="N34" s="5">
        <v>9</v>
      </c>
      <c r="O34" s="6">
        <f>SUM(B34:N34)</f>
        <v>38</v>
      </c>
    </row>
    <row r="35" spans="1:17" ht="13.5" thickBot="1">
      <c r="A35" s="62" t="s">
        <v>5</v>
      </c>
      <c r="B35" s="63" t="e">
        <f t="shared" ref="B35:O35" si="7">B34/B33</f>
        <v>#DIV/0!</v>
      </c>
      <c r="C35" s="63" t="e">
        <f t="shared" si="7"/>
        <v>#DIV/0!</v>
      </c>
      <c r="D35" s="63" t="e">
        <f t="shared" si="7"/>
        <v>#DIV/0!</v>
      </c>
      <c r="E35" s="63" t="e">
        <f t="shared" si="7"/>
        <v>#DIV/0!</v>
      </c>
      <c r="F35" s="63">
        <f t="shared" si="7"/>
        <v>1</v>
      </c>
      <c r="G35" s="63" t="e">
        <f t="shared" si="7"/>
        <v>#DIV/0!</v>
      </c>
      <c r="H35" s="63" t="e">
        <f t="shared" si="7"/>
        <v>#DIV/0!</v>
      </c>
      <c r="I35" s="63" t="e">
        <f t="shared" si="7"/>
        <v>#DIV/0!</v>
      </c>
      <c r="J35" s="63">
        <f t="shared" si="7"/>
        <v>1</v>
      </c>
      <c r="K35" s="63">
        <f t="shared" si="7"/>
        <v>1</v>
      </c>
      <c r="L35" s="63" t="e">
        <f t="shared" si="7"/>
        <v>#DIV/0!</v>
      </c>
      <c r="M35" s="63">
        <f t="shared" si="7"/>
        <v>1</v>
      </c>
      <c r="N35" s="63">
        <f t="shared" si="7"/>
        <v>1</v>
      </c>
      <c r="O35" s="63">
        <f t="shared" si="7"/>
        <v>1</v>
      </c>
    </row>
    <row r="36" spans="1:17" ht="8.25" customHeight="1" thickTop="1">
      <c r="A36" s="7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spans="1:17" ht="18">
      <c r="A37" s="4" t="s">
        <v>89</v>
      </c>
    </row>
    <row r="38" spans="1:17">
      <c r="A38" s="1" t="s">
        <v>2</v>
      </c>
    </row>
    <row r="39" spans="1:17">
      <c r="A39" t="s">
        <v>3</v>
      </c>
      <c r="B39" s="5">
        <v>151586</v>
      </c>
      <c r="C39" s="5">
        <v>267720</v>
      </c>
      <c r="D39" s="259">
        <v>220858</v>
      </c>
      <c r="E39" s="259">
        <v>265425</v>
      </c>
      <c r="F39" s="5">
        <f>345782-2000</f>
        <v>343782</v>
      </c>
      <c r="G39" s="5">
        <f>357308-1288-40</f>
        <v>355980</v>
      </c>
      <c r="H39" s="5">
        <v>232280</v>
      </c>
      <c r="I39" s="5">
        <f>127335-200</f>
        <v>127135</v>
      </c>
      <c r="J39" s="5">
        <v>568700</v>
      </c>
      <c r="K39" s="5">
        <v>125000</v>
      </c>
      <c r="L39" s="5">
        <v>294146</v>
      </c>
      <c r="M39" s="5">
        <v>141058</v>
      </c>
      <c r="N39" s="5">
        <v>530583</v>
      </c>
      <c r="O39" s="6">
        <f>SUM(B39:N39)</f>
        <v>3624253</v>
      </c>
    </row>
    <row r="40" spans="1:17">
      <c r="A40" t="s">
        <v>4</v>
      </c>
      <c r="B40" s="5">
        <v>151982</v>
      </c>
      <c r="C40" s="5">
        <v>267899</v>
      </c>
      <c r="D40" s="259">
        <v>221722</v>
      </c>
      <c r="E40" s="259">
        <v>265440</v>
      </c>
      <c r="F40" s="5">
        <f>346102-2000</f>
        <v>344102</v>
      </c>
      <c r="G40" s="5">
        <f>357335-1288-40</f>
        <v>356007</v>
      </c>
      <c r="H40" s="5">
        <v>232280</v>
      </c>
      <c r="I40" s="5">
        <f>127335-200</f>
        <v>127135</v>
      </c>
      <c r="J40" s="5">
        <v>568701</v>
      </c>
      <c r="K40" s="5">
        <v>129908</v>
      </c>
      <c r="L40" s="5">
        <v>294146</v>
      </c>
      <c r="M40" s="5">
        <v>141058</v>
      </c>
      <c r="N40" s="5">
        <v>530642</v>
      </c>
      <c r="O40" s="6">
        <f>SUM(B40:N40)</f>
        <v>3631022</v>
      </c>
      <c r="Q40" s="6"/>
    </row>
    <row r="41" spans="1:17">
      <c r="A41" s="61" t="s">
        <v>5</v>
      </c>
      <c r="B41" s="57">
        <f t="shared" ref="B41:O41" si="8">B40/B39</f>
        <v>1.0026123784518359</v>
      </c>
      <c r="C41" s="57">
        <f t="shared" si="8"/>
        <v>1.0006686089944719</v>
      </c>
      <c r="D41" s="57">
        <f t="shared" si="8"/>
        <v>1.0039120158653976</v>
      </c>
      <c r="E41" s="57">
        <f t="shared" si="8"/>
        <v>1.0000565131393049</v>
      </c>
      <c r="F41" s="57">
        <f t="shared" si="8"/>
        <v>1.0009308224398019</v>
      </c>
      <c r="G41" s="57">
        <f t="shared" si="8"/>
        <v>1.0000758469576942</v>
      </c>
      <c r="H41" s="57">
        <f t="shared" si="8"/>
        <v>1</v>
      </c>
      <c r="I41" s="57">
        <f t="shared" si="8"/>
        <v>1</v>
      </c>
      <c r="J41" s="57">
        <f t="shared" si="8"/>
        <v>1.0000017583963425</v>
      </c>
      <c r="K41" s="57">
        <f t="shared" si="8"/>
        <v>1.039264</v>
      </c>
      <c r="L41" s="57">
        <f t="shared" si="8"/>
        <v>1</v>
      </c>
      <c r="M41" s="57">
        <f t="shared" si="8"/>
        <v>1</v>
      </c>
      <c r="N41" s="57">
        <f t="shared" si="8"/>
        <v>1.0001111984364368</v>
      </c>
      <c r="O41" s="57">
        <f t="shared" si="8"/>
        <v>1.0018676952188492</v>
      </c>
    </row>
    <row r="42" spans="1:17">
      <c r="J42" s="6"/>
    </row>
    <row r="43" spans="1:17">
      <c r="A43" s="1" t="s">
        <v>6</v>
      </c>
      <c r="K43" t="s">
        <v>198</v>
      </c>
    </row>
    <row r="44" spans="1:17">
      <c r="A44" t="s">
        <v>3</v>
      </c>
      <c r="B44" s="91">
        <v>4</v>
      </c>
      <c r="C44" s="91">
        <v>8</v>
      </c>
      <c r="D44" s="5">
        <v>6</v>
      </c>
      <c r="E44" s="91">
        <v>8</v>
      </c>
      <c r="F44" s="5">
        <v>10</v>
      </c>
      <c r="G44" s="5">
        <v>9</v>
      </c>
      <c r="H44" s="91">
        <v>6</v>
      </c>
      <c r="I44" s="91">
        <v>7</v>
      </c>
      <c r="J44" s="5">
        <v>8</v>
      </c>
      <c r="K44" s="5">
        <v>4</v>
      </c>
      <c r="L44" s="5">
        <v>7</v>
      </c>
      <c r="M44" s="5">
        <v>4</v>
      </c>
      <c r="N44" s="5">
        <v>10</v>
      </c>
      <c r="O44" s="6">
        <f>SUM(B44:N44)</f>
        <v>91</v>
      </c>
    </row>
    <row r="45" spans="1:17">
      <c r="A45" t="s">
        <v>4</v>
      </c>
      <c r="B45" s="91">
        <v>4</v>
      </c>
      <c r="C45" s="91">
        <v>8</v>
      </c>
      <c r="D45" s="77">
        <v>6</v>
      </c>
      <c r="E45" s="91">
        <v>8</v>
      </c>
      <c r="F45" s="5">
        <v>10</v>
      </c>
      <c r="G45" s="5">
        <v>9</v>
      </c>
      <c r="H45" s="91">
        <v>6</v>
      </c>
      <c r="I45" s="91">
        <v>7</v>
      </c>
      <c r="J45" s="5">
        <v>8</v>
      </c>
      <c r="K45" s="5">
        <v>4</v>
      </c>
      <c r="L45" s="5">
        <v>7</v>
      </c>
      <c r="M45" s="5">
        <v>4</v>
      </c>
      <c r="N45" s="5">
        <v>10</v>
      </c>
      <c r="O45" s="6">
        <f>SUM(B45:N45)</f>
        <v>91</v>
      </c>
    </row>
    <row r="46" spans="1:17" ht="13.5" thickBot="1">
      <c r="A46" s="62" t="s">
        <v>5</v>
      </c>
      <c r="B46" s="63">
        <f t="shared" ref="B46:O46" si="9">B45/B44</f>
        <v>1</v>
      </c>
      <c r="C46" s="63">
        <f t="shared" si="9"/>
        <v>1</v>
      </c>
      <c r="D46" s="63">
        <f t="shared" si="9"/>
        <v>1</v>
      </c>
      <c r="E46" s="63">
        <f t="shared" si="9"/>
        <v>1</v>
      </c>
      <c r="F46" s="63">
        <f t="shared" si="9"/>
        <v>1</v>
      </c>
      <c r="G46" s="63">
        <f t="shared" si="9"/>
        <v>1</v>
      </c>
      <c r="H46" s="63">
        <f t="shared" si="9"/>
        <v>1</v>
      </c>
      <c r="I46" s="63">
        <f t="shared" si="9"/>
        <v>1</v>
      </c>
      <c r="J46" s="63">
        <f t="shared" si="9"/>
        <v>1</v>
      </c>
      <c r="K46" s="63">
        <f t="shared" si="9"/>
        <v>1</v>
      </c>
      <c r="L46" s="63">
        <f t="shared" si="9"/>
        <v>1</v>
      </c>
      <c r="M46" s="63">
        <f t="shared" si="9"/>
        <v>1</v>
      </c>
      <c r="N46" s="63">
        <f t="shared" si="9"/>
        <v>1</v>
      </c>
      <c r="O46" s="63">
        <f t="shared" si="9"/>
        <v>1</v>
      </c>
    </row>
    <row r="47" spans="1:17" ht="8.25" customHeight="1" thickTop="1">
      <c r="A47" s="7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 spans="1:17" ht="18">
      <c r="A48" s="4" t="s">
        <v>7</v>
      </c>
    </row>
    <row r="49" spans="1:19">
      <c r="A49" s="1" t="s">
        <v>2</v>
      </c>
    </row>
    <row r="50" spans="1:19">
      <c r="A50" t="s">
        <v>3</v>
      </c>
      <c r="B50" s="5">
        <v>650</v>
      </c>
      <c r="C50" s="5">
        <v>0</v>
      </c>
      <c r="D50" s="5">
        <v>0</v>
      </c>
      <c r="E50" s="5">
        <v>0</v>
      </c>
      <c r="F50" s="5">
        <v>2000</v>
      </c>
      <c r="G50" s="5">
        <f>40+1288</f>
        <v>1328</v>
      </c>
      <c r="H50" s="5">
        <v>0</v>
      </c>
      <c r="I50" s="259">
        <f>5000*4+200</f>
        <v>20200</v>
      </c>
      <c r="J50" s="5">
        <f>100+150+100</f>
        <v>350</v>
      </c>
      <c r="K50" s="5">
        <v>2000</v>
      </c>
      <c r="L50" s="5">
        <f>100+1000</f>
        <v>1100</v>
      </c>
      <c r="M50" s="5">
        <v>5115</v>
      </c>
      <c r="N50" s="5">
        <f>1020+1218+4000</f>
        <v>6238</v>
      </c>
      <c r="O50" s="6">
        <f>SUM(B50:N50)</f>
        <v>38981</v>
      </c>
    </row>
    <row r="51" spans="1:19">
      <c r="A51" t="s">
        <v>4</v>
      </c>
      <c r="B51" s="5">
        <v>650</v>
      </c>
      <c r="C51" s="5">
        <v>0</v>
      </c>
      <c r="D51" s="77">
        <v>0</v>
      </c>
      <c r="E51" s="5">
        <v>0</v>
      </c>
      <c r="F51" s="5">
        <v>2000</v>
      </c>
      <c r="G51" s="5">
        <f>40+1288</f>
        <v>1328</v>
      </c>
      <c r="H51" s="5">
        <v>0</v>
      </c>
      <c r="I51" s="259">
        <f>5100*4+200</f>
        <v>20600</v>
      </c>
      <c r="J51" s="5">
        <f>100+150+100</f>
        <v>350</v>
      </c>
      <c r="K51" s="5">
        <v>2000</v>
      </c>
      <c r="L51" s="5">
        <f>100+1000</f>
        <v>1100</v>
      </c>
      <c r="M51" s="5">
        <v>5675</v>
      </c>
      <c r="N51" s="5">
        <f>1020+1218+4000</f>
        <v>6238</v>
      </c>
      <c r="O51" s="6">
        <f>SUM(B51:N51)</f>
        <v>39941</v>
      </c>
    </row>
    <row r="52" spans="1:19">
      <c r="A52" s="61" t="s">
        <v>5</v>
      </c>
      <c r="B52" s="57">
        <f t="shared" ref="B52:O52" si="10">B51/B50</f>
        <v>1</v>
      </c>
      <c r="C52" s="57" t="e">
        <f t="shared" si="10"/>
        <v>#DIV/0!</v>
      </c>
      <c r="D52" s="57" t="e">
        <f t="shared" si="10"/>
        <v>#DIV/0!</v>
      </c>
      <c r="E52" s="57" t="e">
        <f t="shared" si="10"/>
        <v>#DIV/0!</v>
      </c>
      <c r="F52" s="57">
        <f t="shared" si="10"/>
        <v>1</v>
      </c>
      <c r="G52" s="57">
        <f t="shared" si="10"/>
        <v>1</v>
      </c>
      <c r="H52" s="57" t="e">
        <f t="shared" si="10"/>
        <v>#DIV/0!</v>
      </c>
      <c r="I52" s="57">
        <f t="shared" si="10"/>
        <v>1.0198019801980198</v>
      </c>
      <c r="J52" s="57">
        <f t="shared" si="10"/>
        <v>1</v>
      </c>
      <c r="K52" s="57">
        <f t="shared" si="10"/>
        <v>1</v>
      </c>
      <c r="L52" s="57">
        <f t="shared" si="10"/>
        <v>1</v>
      </c>
      <c r="M52" s="57">
        <f t="shared" si="10"/>
        <v>1.1094819159335287</v>
      </c>
      <c r="N52" s="57">
        <f t="shared" si="10"/>
        <v>1</v>
      </c>
      <c r="O52" s="57">
        <f t="shared" si="10"/>
        <v>1.0246273825709962</v>
      </c>
    </row>
    <row r="54" spans="1:19">
      <c r="A54" s="1" t="s">
        <v>6</v>
      </c>
    </row>
    <row r="55" spans="1:19">
      <c r="A55" t="s">
        <v>3</v>
      </c>
      <c r="B55" s="91">
        <v>1</v>
      </c>
      <c r="C55" s="5">
        <v>0</v>
      </c>
      <c r="D55" s="5">
        <v>0</v>
      </c>
      <c r="E55" s="5">
        <v>0</v>
      </c>
      <c r="F55" s="91">
        <v>3</v>
      </c>
      <c r="G55" s="5">
        <v>5</v>
      </c>
      <c r="H55" s="5">
        <v>0</v>
      </c>
      <c r="I55" s="259">
        <v>5</v>
      </c>
      <c r="J55" s="5">
        <v>0</v>
      </c>
      <c r="K55" s="5">
        <v>1</v>
      </c>
      <c r="L55" s="5">
        <v>2</v>
      </c>
      <c r="M55" s="5">
        <v>3</v>
      </c>
      <c r="N55" s="5">
        <v>2</v>
      </c>
      <c r="O55" s="6">
        <f>SUM(B55:N55)</f>
        <v>22</v>
      </c>
    </row>
    <row r="56" spans="1:19">
      <c r="A56" t="s">
        <v>4</v>
      </c>
      <c r="B56" s="91">
        <v>1</v>
      </c>
      <c r="C56" s="5">
        <v>0</v>
      </c>
      <c r="D56" s="77">
        <v>0</v>
      </c>
      <c r="E56" s="5">
        <v>0</v>
      </c>
      <c r="F56" s="91">
        <v>3</v>
      </c>
      <c r="G56" s="5">
        <v>5</v>
      </c>
      <c r="H56" s="5">
        <v>0</v>
      </c>
      <c r="I56" s="259">
        <v>3</v>
      </c>
      <c r="J56" s="5">
        <v>0</v>
      </c>
      <c r="K56" s="5">
        <v>1</v>
      </c>
      <c r="L56" s="5">
        <v>2</v>
      </c>
      <c r="M56" s="5">
        <v>3</v>
      </c>
      <c r="N56" s="5">
        <v>2</v>
      </c>
      <c r="O56" s="6">
        <f>SUM(B56:N56)</f>
        <v>20</v>
      </c>
    </row>
    <row r="57" spans="1:19" ht="13.5" thickBot="1">
      <c r="A57" s="62" t="s">
        <v>5</v>
      </c>
      <c r="B57" s="63">
        <f t="shared" ref="B57:O57" si="11">B56/B55</f>
        <v>1</v>
      </c>
      <c r="C57" s="63" t="e">
        <f t="shared" si="11"/>
        <v>#DIV/0!</v>
      </c>
      <c r="D57" s="63" t="e">
        <f t="shared" si="11"/>
        <v>#DIV/0!</v>
      </c>
      <c r="E57" s="63" t="e">
        <f t="shared" si="11"/>
        <v>#DIV/0!</v>
      </c>
      <c r="F57" s="63">
        <f t="shared" si="11"/>
        <v>1</v>
      </c>
      <c r="G57" s="63">
        <f t="shared" si="11"/>
        <v>1</v>
      </c>
      <c r="H57" s="63" t="e">
        <f t="shared" si="11"/>
        <v>#DIV/0!</v>
      </c>
      <c r="I57" s="63">
        <f t="shared" si="11"/>
        <v>0.6</v>
      </c>
      <c r="J57" s="63" t="e">
        <f t="shared" si="11"/>
        <v>#DIV/0!</v>
      </c>
      <c r="K57" s="63">
        <f t="shared" si="11"/>
        <v>1</v>
      </c>
      <c r="L57" s="63">
        <f t="shared" si="11"/>
        <v>1</v>
      </c>
      <c r="M57" s="63">
        <f t="shared" si="11"/>
        <v>1</v>
      </c>
      <c r="N57" s="63">
        <f t="shared" si="11"/>
        <v>1</v>
      </c>
      <c r="O57" s="63">
        <f t="shared" si="11"/>
        <v>0.90909090909090906</v>
      </c>
    </row>
    <row r="58" spans="1:19" ht="8.25" customHeight="1" thickTop="1">
      <c r="A58" s="7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9" ht="18">
      <c r="A59" s="4" t="s">
        <v>1</v>
      </c>
      <c r="B59" s="70">
        <f>B2</f>
        <v>27</v>
      </c>
      <c r="C59" s="70">
        <f>C2</f>
        <v>28</v>
      </c>
      <c r="D59" s="70">
        <f t="shared" ref="D59:L59" si="12">D2</f>
        <v>29</v>
      </c>
      <c r="E59" s="70">
        <f t="shared" si="12"/>
        <v>30</v>
      </c>
      <c r="F59" s="70">
        <f t="shared" si="12"/>
        <v>31</v>
      </c>
      <c r="G59" s="70">
        <f t="shared" si="12"/>
        <v>32</v>
      </c>
      <c r="H59" s="70">
        <f t="shared" si="12"/>
        <v>33</v>
      </c>
      <c r="I59" s="70">
        <f t="shared" si="12"/>
        <v>34</v>
      </c>
      <c r="J59" s="70">
        <f t="shared" si="12"/>
        <v>35</v>
      </c>
      <c r="K59" s="70">
        <f t="shared" si="12"/>
        <v>36</v>
      </c>
      <c r="L59" s="70">
        <f t="shared" si="12"/>
        <v>37</v>
      </c>
      <c r="M59" s="70">
        <f>M2</f>
        <v>38</v>
      </c>
      <c r="N59" s="70">
        <f>N2</f>
        <v>39</v>
      </c>
      <c r="O59" s="72" t="s">
        <v>87</v>
      </c>
      <c r="P59" s="72" t="s">
        <v>87</v>
      </c>
    </row>
    <row r="60" spans="1:19">
      <c r="A60" t="s">
        <v>22</v>
      </c>
      <c r="B60" s="71">
        <f>B3</f>
        <v>40914</v>
      </c>
      <c r="C60" s="71">
        <f>+B60+7</f>
        <v>40921</v>
      </c>
      <c r="D60" s="71">
        <f t="shared" ref="D60:L60" si="13">+C60+7</f>
        <v>40928</v>
      </c>
      <c r="E60" s="71">
        <f t="shared" si="13"/>
        <v>40935</v>
      </c>
      <c r="F60" s="71">
        <f t="shared" si="13"/>
        <v>40942</v>
      </c>
      <c r="G60" s="71">
        <f t="shared" si="13"/>
        <v>40949</v>
      </c>
      <c r="H60" s="71">
        <f t="shared" si="13"/>
        <v>40956</v>
      </c>
      <c r="I60" s="71">
        <f t="shared" si="13"/>
        <v>40963</v>
      </c>
      <c r="J60" s="71">
        <f t="shared" si="13"/>
        <v>40970</v>
      </c>
      <c r="K60" s="71">
        <f t="shared" si="13"/>
        <v>40977</v>
      </c>
      <c r="L60" s="71">
        <f t="shared" si="13"/>
        <v>40984</v>
      </c>
      <c r="M60" s="71">
        <f>+L60+7</f>
        <v>40991</v>
      </c>
      <c r="N60" s="71">
        <f>+M60+7</f>
        <v>40998</v>
      </c>
      <c r="O60" s="3" t="s">
        <v>213</v>
      </c>
      <c r="P60" s="73" t="s">
        <v>12</v>
      </c>
      <c r="Q60" s="2"/>
      <c r="S60" s="2"/>
    </row>
    <row r="61" spans="1:19">
      <c r="A61" t="s">
        <v>9</v>
      </c>
      <c r="B61" s="88">
        <f t="shared" ref="B61:O61" si="14">B55+B44+B33+B22+B11</f>
        <v>11</v>
      </c>
      <c r="C61" s="88">
        <f t="shared" si="14"/>
        <v>10</v>
      </c>
      <c r="D61" s="88">
        <f t="shared" si="14"/>
        <v>8</v>
      </c>
      <c r="E61" s="88">
        <f t="shared" si="14"/>
        <v>10</v>
      </c>
      <c r="F61" s="88">
        <f t="shared" si="14"/>
        <v>18</v>
      </c>
      <c r="G61" s="88">
        <f t="shared" si="14"/>
        <v>16</v>
      </c>
      <c r="H61" s="88">
        <f t="shared" si="14"/>
        <v>8</v>
      </c>
      <c r="I61" s="260">
        <f t="shared" si="14"/>
        <v>14</v>
      </c>
      <c r="J61" s="88">
        <f t="shared" si="14"/>
        <v>18</v>
      </c>
      <c r="K61" s="88">
        <f>K55+K44+K33+K22+K11</f>
        <v>19</v>
      </c>
      <c r="L61" s="88">
        <f t="shared" si="14"/>
        <v>14</v>
      </c>
      <c r="M61" s="88">
        <f>M55+M44+M33+M22+M11</f>
        <v>17</v>
      </c>
      <c r="N61" s="88">
        <f t="shared" si="14"/>
        <v>26</v>
      </c>
      <c r="O61" s="88">
        <f t="shared" si="14"/>
        <v>189</v>
      </c>
      <c r="Q61" s="6"/>
    </row>
    <row r="62" spans="1:19">
      <c r="A62" t="s">
        <v>10</v>
      </c>
      <c r="B62" s="88">
        <f>B56+B45+B34+B23+B12</f>
        <v>11</v>
      </c>
      <c r="C62" s="88">
        <f>C56+C45+C34+C23+C12</f>
        <v>10</v>
      </c>
      <c r="D62" s="88">
        <f t="shared" ref="D62:J62" si="15">D56+D45+D34+D23+D12</f>
        <v>8</v>
      </c>
      <c r="E62" s="88">
        <f t="shared" si="15"/>
        <v>10</v>
      </c>
      <c r="F62" s="88">
        <f t="shared" si="15"/>
        <v>18</v>
      </c>
      <c r="G62" s="88">
        <f t="shared" si="15"/>
        <v>16</v>
      </c>
      <c r="H62" s="88">
        <f>H56+H45+H34+H23+H12</f>
        <v>8</v>
      </c>
      <c r="I62" s="260">
        <f t="shared" si="15"/>
        <v>12</v>
      </c>
      <c r="J62" s="88">
        <f t="shared" si="15"/>
        <v>18</v>
      </c>
      <c r="K62" s="88">
        <f>K56+K45+K34+K23+K12</f>
        <v>19</v>
      </c>
      <c r="L62" s="88">
        <f>L56+L45+L34+L23+L12</f>
        <v>14</v>
      </c>
      <c r="M62" s="88">
        <f>M56+M45+M34+M23+M12</f>
        <v>17</v>
      </c>
      <c r="N62" s="88">
        <f>N56+N45+N34+N23+N12</f>
        <v>26</v>
      </c>
      <c r="O62" s="88">
        <f>O56+O45+O34+O23+O12</f>
        <v>187</v>
      </c>
      <c r="Q62" s="6"/>
    </row>
    <row r="63" spans="1:19">
      <c r="A63" s="60" t="s">
        <v>5</v>
      </c>
      <c r="B63" s="58">
        <f t="shared" ref="B63:N63" si="16">B62/B61</f>
        <v>1</v>
      </c>
      <c r="C63" s="58">
        <f t="shared" si="16"/>
        <v>1</v>
      </c>
      <c r="D63" s="58">
        <f t="shared" si="16"/>
        <v>1</v>
      </c>
      <c r="E63" s="58">
        <f t="shared" si="16"/>
        <v>1</v>
      </c>
      <c r="F63" s="58">
        <f t="shared" si="16"/>
        <v>1</v>
      </c>
      <c r="G63" s="58">
        <f t="shared" si="16"/>
        <v>1</v>
      </c>
      <c r="H63" s="58">
        <f t="shared" si="16"/>
        <v>1</v>
      </c>
      <c r="I63" s="58">
        <f t="shared" si="16"/>
        <v>0.8571428571428571</v>
      </c>
      <c r="J63" s="58">
        <f t="shared" si="16"/>
        <v>1</v>
      </c>
      <c r="K63" s="58">
        <f t="shared" si="16"/>
        <v>1</v>
      </c>
      <c r="L63" s="58">
        <f t="shared" si="16"/>
        <v>1</v>
      </c>
      <c r="M63" s="58">
        <f t="shared" si="16"/>
        <v>1</v>
      </c>
      <c r="N63" s="58">
        <f t="shared" si="16"/>
        <v>1</v>
      </c>
      <c r="O63" s="258">
        <f>O62/O61</f>
        <v>0.98941798941798942</v>
      </c>
      <c r="P63" s="92">
        <v>0.997</v>
      </c>
      <c r="Q63" s="6"/>
    </row>
    <row r="64" spans="1:19">
      <c r="A64" s="7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 spans="1:15">
      <c r="A65" s="1" t="s">
        <v>2</v>
      </c>
    </row>
    <row r="66" spans="1:15">
      <c r="A66" t="s">
        <v>11</v>
      </c>
      <c r="B66" s="82">
        <f t="shared" ref="B66:D67" si="17">(B6+B17+B28+B39+B50)/1000000</f>
        <v>1.4362360000000001</v>
      </c>
      <c r="C66" s="101">
        <f t="shared" si="17"/>
        <v>1.52772</v>
      </c>
      <c r="D66" s="82">
        <f t="shared" si="17"/>
        <v>1.480858</v>
      </c>
      <c r="E66" s="82">
        <f t="shared" ref="E66:I67" si="18">(E6+E17+E28+E39+E50)/1000000</f>
        <v>1.525425</v>
      </c>
      <c r="F66" s="82">
        <f t="shared" si="18"/>
        <v>1.6735819999999999</v>
      </c>
      <c r="G66" s="82">
        <f t="shared" si="18"/>
        <v>1.617308</v>
      </c>
      <c r="H66" s="101">
        <f t="shared" si="18"/>
        <v>1.4922800000000001</v>
      </c>
      <c r="I66" s="82">
        <f>(I6+I17+I28+I39+I50)/1000000</f>
        <v>1.407335</v>
      </c>
      <c r="J66" s="82">
        <f t="shared" ref="J66:L67" si="19">(J6+J17+J28+J39+J50)/1000000</f>
        <v>2.6389999999999998</v>
      </c>
      <c r="K66" s="82">
        <f t="shared" si="19"/>
        <v>1.4307000000000001</v>
      </c>
      <c r="L66" s="101">
        <f t="shared" si="19"/>
        <v>1.582246</v>
      </c>
      <c r="M66" s="82">
        <f>(M6+M17+M28+M39+M50)/1000000</f>
        <v>2.1261730000000001</v>
      </c>
      <c r="N66" s="82">
        <f>(N6+N17+N28+N39+N50)/1000000</f>
        <v>4.4358209999999998</v>
      </c>
      <c r="O66" s="6">
        <f>SUM(B66:N66)</f>
        <v>24.374684000000006</v>
      </c>
    </row>
    <row r="67" spans="1:15">
      <c r="A67" s="64" t="s">
        <v>31</v>
      </c>
      <c r="B67" s="83">
        <f t="shared" si="17"/>
        <v>1.437532</v>
      </c>
      <c r="C67" s="102">
        <f t="shared" si="17"/>
        <v>1.5288390000000001</v>
      </c>
      <c r="D67" s="83">
        <f t="shared" si="17"/>
        <v>1.4897720000000001</v>
      </c>
      <c r="E67" s="83">
        <f t="shared" si="18"/>
        <v>1.5335399999999999</v>
      </c>
      <c r="F67" s="83">
        <f t="shared" si="18"/>
        <v>1.6785490000000001</v>
      </c>
      <c r="G67" s="83">
        <f t="shared" si="18"/>
        <v>1.6214150000000001</v>
      </c>
      <c r="H67" s="102">
        <f t="shared" si="18"/>
        <v>1.4903</v>
      </c>
      <c r="I67" s="83">
        <f t="shared" si="18"/>
        <v>1.4080349999999999</v>
      </c>
      <c r="J67" s="83">
        <f t="shared" si="19"/>
        <v>2.6399010000000001</v>
      </c>
      <c r="K67" s="83">
        <f>(K7+K18+K29+K40+K51)/1000000</f>
        <v>1.435608</v>
      </c>
      <c r="L67" s="102">
        <f>(L7+L18+L29+L40+L51)/1000000</f>
        <v>1.582246</v>
      </c>
      <c r="M67" s="83">
        <f>(M7+M18+M29+M40+M51)/1000000</f>
        <v>2.1423329999999998</v>
      </c>
      <c r="N67" s="83">
        <f>(N7+N18+N29+N40+N51)/1000000</f>
        <v>4.4367900000000002</v>
      </c>
      <c r="O67" s="65">
        <f>SUM(B67:N67)</f>
        <v>24.424860000000002</v>
      </c>
    </row>
    <row r="68" spans="1:15" ht="13.5" thickBot="1">
      <c r="A68" s="66" t="s">
        <v>5</v>
      </c>
      <c r="B68" s="67">
        <f t="shared" ref="B68:M68" si="20">B67/B66</f>
        <v>1.000902358665289</v>
      </c>
      <c r="C68" s="67">
        <f t="shared" si="20"/>
        <v>1.0007324640640956</v>
      </c>
      <c r="D68" s="67">
        <f t="shared" si="20"/>
        <v>1.0060194832995466</v>
      </c>
      <c r="E68" s="67">
        <f t="shared" si="20"/>
        <v>1.0053198289001426</v>
      </c>
      <c r="F68" s="67">
        <f t="shared" si="20"/>
        <v>1.0029678856488657</v>
      </c>
      <c r="G68" s="67">
        <f t="shared" si="20"/>
        <v>1.0025394049865579</v>
      </c>
      <c r="H68" s="67">
        <f t="shared" si="20"/>
        <v>0.99867317125472421</v>
      </c>
      <c r="I68" s="67">
        <f t="shared" si="20"/>
        <v>1.0004973940106654</v>
      </c>
      <c r="J68" s="67">
        <f t="shared" si="20"/>
        <v>1.0003414172034863</v>
      </c>
      <c r="K68" s="67">
        <f t="shared" si="20"/>
        <v>1.0034304885720275</v>
      </c>
      <c r="L68" s="67">
        <f t="shared" si="20"/>
        <v>1</v>
      </c>
      <c r="M68" s="67">
        <f t="shared" si="20"/>
        <v>1.0076005104006116</v>
      </c>
      <c r="N68" s="67">
        <f>N67/N66</f>
        <v>1.0002184488508441</v>
      </c>
      <c r="O68" s="67">
        <f>O67/O66</f>
        <v>1.0020585292510868</v>
      </c>
    </row>
    <row r="69" spans="1:15" ht="13.5" thickTop="1"/>
    <row r="70" spans="1:15" s="9" customFormat="1">
      <c r="A70" s="9" t="s">
        <v>21</v>
      </c>
      <c r="B70" s="14"/>
      <c r="C70" s="103"/>
      <c r="D70" s="14"/>
      <c r="E70" s="14"/>
      <c r="F70" s="14"/>
      <c r="G70" s="14"/>
      <c r="H70" s="103"/>
      <c r="I70" s="14"/>
      <c r="J70" s="14"/>
      <c r="K70" s="14"/>
      <c r="L70" s="103"/>
      <c r="M70" s="14"/>
      <c r="N70" s="14"/>
      <c r="O70" s="14"/>
    </row>
    <row r="72" spans="1:15">
      <c r="A72" s="15" t="s">
        <v>93</v>
      </c>
    </row>
    <row r="73" spans="1:15">
      <c r="A73" s="9"/>
    </row>
    <row r="74" spans="1:15">
      <c r="A74" s="1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6"/>
    </row>
    <row r="75" spans="1:15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6"/>
    </row>
    <row r="76" spans="1:15" s="9" customFormat="1">
      <c r="A76" s="15"/>
      <c r="B76" s="14"/>
      <c r="C76" s="103"/>
      <c r="D76" s="14"/>
      <c r="E76" s="14"/>
      <c r="F76" s="14"/>
      <c r="G76" s="14"/>
      <c r="H76" s="103"/>
      <c r="I76" s="14"/>
      <c r="J76" s="14"/>
      <c r="K76" s="14"/>
      <c r="L76" s="103"/>
      <c r="M76" s="14"/>
      <c r="N76" s="14"/>
      <c r="O76" s="14"/>
    </row>
    <row r="77" spans="1:15">
      <c r="A77" s="11"/>
    </row>
    <row r="78" spans="1:15">
      <c r="A78" s="15"/>
    </row>
    <row r="79" spans="1:15">
      <c r="A79" s="11"/>
    </row>
    <row r="80" spans="1:15">
      <c r="A80" s="9"/>
    </row>
  </sheetData>
  <phoneticPr fontId="0" type="noConversion"/>
  <hyperlinks>
    <hyperlink ref="A3" location="'Exec Summary, Metric Goals'!A1" display="Back"/>
  </hyperlinks>
  <pageMargins left="0.61" right="0.51" top="0.26" bottom="0.33" header="0.5" footer="0.2"/>
  <pageSetup scale="62" orientation="landscape" r:id="rId1"/>
  <headerFooter alignWithMargins="0">
    <oddFooter>&amp;C&amp;Z&amp;F&amp;R&amp;"Arial,Bold"&amp;14&amp;D          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5">
    <tabColor theme="0" tint="-0.249977111117893"/>
  </sheetPr>
  <dimension ref="A1:X28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12.75"/>
  <cols>
    <col min="1" max="1" width="25" style="17" bestFit="1" customWidth="1"/>
    <col min="2" max="14" width="13.140625" style="17" customWidth="1"/>
    <col min="15" max="15" width="11.28515625" style="17" customWidth="1"/>
    <col min="16" max="16384" width="9.140625" style="17"/>
  </cols>
  <sheetData>
    <row r="1" spans="1:24" s="61" customFormat="1">
      <c r="A1" s="61" t="s">
        <v>94</v>
      </c>
      <c r="B1" s="84">
        <f>'On-Time Delivery Data'!B2</f>
        <v>27</v>
      </c>
      <c r="C1" s="84">
        <f>'On-Time Delivery Data'!C2</f>
        <v>28</v>
      </c>
      <c r="D1" s="84">
        <f>'On-Time Delivery Data'!D2</f>
        <v>29</v>
      </c>
      <c r="E1" s="84">
        <f>'On-Time Delivery Data'!E2</f>
        <v>30</v>
      </c>
      <c r="F1" s="84">
        <f>'On-Time Delivery Data'!F2</f>
        <v>31</v>
      </c>
      <c r="G1" s="84">
        <f>'On-Time Delivery Data'!G2</f>
        <v>32</v>
      </c>
      <c r="H1" s="84">
        <f>'On-Time Delivery Data'!H2</f>
        <v>33</v>
      </c>
      <c r="I1" s="84">
        <f>'On-Time Delivery Data'!I2</f>
        <v>34</v>
      </c>
      <c r="J1" s="84">
        <f>'On-Time Delivery Data'!J2</f>
        <v>35</v>
      </c>
      <c r="K1" s="84">
        <f>'On-Time Delivery Data'!K2</f>
        <v>36</v>
      </c>
      <c r="L1" s="84">
        <f>'On-Time Delivery Data'!L2</f>
        <v>37</v>
      </c>
      <c r="M1" s="84">
        <f>'On-Time Delivery Data'!M2</f>
        <v>38</v>
      </c>
      <c r="N1" s="84">
        <f>'On-Time Delivery Data'!N2</f>
        <v>39</v>
      </c>
    </row>
    <row r="2" spans="1:24" s="16" customFormat="1">
      <c r="A2" s="81" t="s">
        <v>228</v>
      </c>
      <c r="B2" s="46">
        <f>'On-Time Delivery Data'!B3</f>
        <v>40914</v>
      </c>
      <c r="C2" s="46">
        <f>'On-Time Delivery Data'!C3</f>
        <v>40921</v>
      </c>
      <c r="D2" s="46">
        <f>'On-Time Delivery Data'!D3</f>
        <v>40928</v>
      </c>
      <c r="E2" s="46">
        <f>'On-Time Delivery Data'!E3</f>
        <v>40935</v>
      </c>
      <c r="F2" s="46">
        <f>'On-Time Delivery Data'!F3</f>
        <v>40942</v>
      </c>
      <c r="G2" s="46">
        <f>'On-Time Delivery Data'!G3</f>
        <v>40949</v>
      </c>
      <c r="H2" s="46">
        <f>'On-Time Delivery Data'!H3</f>
        <v>40956</v>
      </c>
      <c r="I2" s="46">
        <f>'On-Time Delivery Data'!I3</f>
        <v>40963</v>
      </c>
      <c r="J2" s="46">
        <f>'On-Time Delivery Data'!J3</f>
        <v>40970</v>
      </c>
      <c r="K2" s="46">
        <f>'On-Time Delivery Data'!K3</f>
        <v>40977</v>
      </c>
      <c r="L2" s="46">
        <f>'On-Time Delivery Data'!L3</f>
        <v>40984</v>
      </c>
      <c r="M2" s="46">
        <f>'On-Time Delivery Data'!M3</f>
        <v>40991</v>
      </c>
      <c r="N2" s="46">
        <f>'On-Time Delivery Data'!N3</f>
        <v>40998</v>
      </c>
      <c r="O2" s="20" t="s">
        <v>1</v>
      </c>
      <c r="Q2" s="19"/>
      <c r="S2" s="19"/>
    </row>
    <row r="3" spans="1:24" s="16" customFormat="1">
      <c r="A3" s="25" t="s">
        <v>24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20"/>
      <c r="Q3" s="19"/>
      <c r="S3" s="19"/>
    </row>
    <row r="4" spans="1:24" s="16" customFormat="1">
      <c r="A4" s="26" t="s">
        <v>28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20"/>
      <c r="Q4" s="19"/>
      <c r="S4" s="19"/>
    </row>
    <row r="5" spans="1:24" s="16" customFormat="1">
      <c r="A5" s="16" t="s">
        <v>4</v>
      </c>
      <c r="B5" s="22">
        <f>'On-Time Delivery Data'!B18</f>
        <v>1284900</v>
      </c>
      <c r="C5" s="22">
        <f>'On-Time Delivery Data'!C18</f>
        <v>1260940</v>
      </c>
      <c r="D5" s="22">
        <f>'On-Time Delivery Data'!D18</f>
        <v>1268050</v>
      </c>
      <c r="E5" s="22">
        <f>'On-Time Delivery Data'!E18</f>
        <v>1268100</v>
      </c>
      <c r="F5" s="22">
        <f>'On-Time Delivery Data'!F18</f>
        <v>1264647</v>
      </c>
      <c r="G5" s="22">
        <f>'On-Time Delivery Data'!G18</f>
        <v>1264080</v>
      </c>
      <c r="H5" s="22">
        <f>'On-Time Delivery Data'!H18</f>
        <v>1258020</v>
      </c>
      <c r="I5" s="22">
        <f>'On-Time Delivery Data'!I18</f>
        <v>1260300</v>
      </c>
      <c r="J5" s="22">
        <f>'On-Time Delivery Data'!J18</f>
        <v>1260900</v>
      </c>
      <c r="K5" s="22">
        <f>'On-Time Delivery Data'!K18</f>
        <v>1260000</v>
      </c>
      <c r="L5" s="22">
        <f>'On-Time Delivery Data'!L18</f>
        <v>1284000</v>
      </c>
      <c r="M5" s="22">
        <f>'On-Time Delivery Data'!M18</f>
        <v>1275600</v>
      </c>
      <c r="N5" s="22">
        <f>'On-Time Delivery Data'!N18</f>
        <v>2260710</v>
      </c>
      <c r="O5" s="23">
        <f>SUM(B5:N5)</f>
        <v>17470247</v>
      </c>
    </row>
    <row r="6" spans="1:24" s="16" customFormat="1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7" spans="1:24" s="16" customFormat="1">
      <c r="A7" s="25" t="s">
        <v>25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24" s="16" customFormat="1">
      <c r="A8" s="26" t="s">
        <v>28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0"/>
      <c r="Q8" s="19"/>
      <c r="S8" s="19"/>
    </row>
    <row r="9" spans="1:24" s="16" customFormat="1">
      <c r="A9" s="16" t="s">
        <v>4</v>
      </c>
      <c r="B9" s="22">
        <f>'On-Time Delivery Data'!B7</f>
        <v>0</v>
      </c>
      <c r="C9" s="22">
        <f>'On-Time Delivery Data'!C7</f>
        <v>0</v>
      </c>
      <c r="D9" s="22">
        <f>'On-Time Delivery Data'!D7</f>
        <v>0</v>
      </c>
      <c r="E9" s="22">
        <f>'On-Time Delivery Data'!E7</f>
        <v>0</v>
      </c>
      <c r="F9" s="22">
        <f>'On-Time Delivery Data'!F7</f>
        <v>0</v>
      </c>
      <c r="G9" s="22">
        <f>'On-Time Delivery Data'!G7</f>
        <v>0</v>
      </c>
      <c r="H9" s="22">
        <f>'On-Time Delivery Data'!H7</f>
        <v>0</v>
      </c>
      <c r="I9" s="22">
        <f>'On-Time Delivery Data'!I7</f>
        <v>0</v>
      </c>
      <c r="J9" s="22">
        <f>'On-Time Delivery Data'!J7</f>
        <v>0</v>
      </c>
      <c r="K9" s="22">
        <f>'On-Time Delivery Data'!K7</f>
        <v>0</v>
      </c>
      <c r="L9" s="22">
        <f>'On-Time Delivery Data'!L7</f>
        <v>3000</v>
      </c>
      <c r="M9" s="22">
        <f>'On-Time Delivery Data'!M7</f>
        <v>120000</v>
      </c>
      <c r="N9" s="22">
        <f>'On-Time Delivery Data'!N7</f>
        <v>700200</v>
      </c>
      <c r="O9" s="23">
        <f>SUM(B9:N9)</f>
        <v>823200</v>
      </c>
    </row>
    <row r="10" spans="1:24" s="16" customFormat="1"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1:24" s="16" customFormat="1">
      <c r="A11" s="25" t="s">
        <v>26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P11" s="23"/>
      <c r="Q11" s="23"/>
      <c r="R11" s="23"/>
      <c r="S11" s="23"/>
      <c r="T11" s="23"/>
      <c r="U11" s="23"/>
      <c r="V11" s="23"/>
      <c r="W11" s="23"/>
      <c r="X11" s="24"/>
    </row>
    <row r="12" spans="1:24" s="16" customFormat="1">
      <c r="A12" s="26" t="s">
        <v>28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20"/>
      <c r="Q12" s="19"/>
      <c r="S12" s="19"/>
    </row>
    <row r="13" spans="1:24" s="16" customFormat="1">
      <c r="A13" s="16" t="s">
        <v>4</v>
      </c>
      <c r="B13" s="22">
        <f>'On-Time Delivery Data'!B29</f>
        <v>0</v>
      </c>
      <c r="C13" s="22">
        <f>'On-Time Delivery Data'!C29</f>
        <v>0</v>
      </c>
      <c r="D13" s="22">
        <f>'On-Time Delivery Data'!D29</f>
        <v>0</v>
      </c>
      <c r="E13" s="22">
        <f>'On-Time Delivery Data'!E29</f>
        <v>0</v>
      </c>
      <c r="F13" s="22">
        <f>'On-Time Delivery Data'!F29</f>
        <v>67800</v>
      </c>
      <c r="G13" s="22">
        <f>'On-Time Delivery Data'!G29</f>
        <v>0</v>
      </c>
      <c r="H13" s="22">
        <f>'On-Time Delivery Data'!H29</f>
        <v>0</v>
      </c>
      <c r="I13" s="22">
        <f>'On-Time Delivery Data'!I29</f>
        <v>0</v>
      </c>
      <c r="J13" s="22">
        <f>'On-Time Delivery Data'!J29</f>
        <v>809950</v>
      </c>
      <c r="K13" s="22">
        <f>'On-Time Delivery Data'!K29</f>
        <v>43700</v>
      </c>
      <c r="L13" s="22">
        <f>'On-Time Delivery Data'!L29</f>
        <v>0</v>
      </c>
      <c r="M13" s="22">
        <f>'On-Time Delivery Data'!M29</f>
        <v>600000</v>
      </c>
      <c r="N13" s="22">
        <f>'On-Time Delivery Data'!N29</f>
        <v>939000</v>
      </c>
      <c r="O13" s="23">
        <f>SUM(B13:N13)</f>
        <v>2460450</v>
      </c>
    </row>
    <row r="14" spans="1:24" s="16" customFormat="1"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24" s="16" customFormat="1">
      <c r="A15" s="25" t="s">
        <v>89</v>
      </c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24" s="16" customFormat="1">
      <c r="A16" s="26" t="s">
        <v>28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9" s="16" customFormat="1">
      <c r="A17" s="16" t="s">
        <v>4</v>
      </c>
      <c r="B17" s="22">
        <f>'On-Time Delivery Data'!B40</f>
        <v>151982</v>
      </c>
      <c r="C17" s="22">
        <f>'On-Time Delivery Data'!C40</f>
        <v>267899</v>
      </c>
      <c r="D17" s="22">
        <f>'On-Time Delivery Data'!D40</f>
        <v>221722</v>
      </c>
      <c r="E17" s="22">
        <f>'On-Time Delivery Data'!E40</f>
        <v>265440</v>
      </c>
      <c r="F17" s="22">
        <f>'On-Time Delivery Data'!F40</f>
        <v>344102</v>
      </c>
      <c r="G17" s="22">
        <f>'On-Time Delivery Data'!G40</f>
        <v>356007</v>
      </c>
      <c r="H17" s="22">
        <f>'On-Time Delivery Data'!H40</f>
        <v>232280</v>
      </c>
      <c r="I17" s="22">
        <f>'On-Time Delivery Data'!I40</f>
        <v>127135</v>
      </c>
      <c r="J17" s="22">
        <f>'On-Time Delivery Data'!J40</f>
        <v>568701</v>
      </c>
      <c r="K17" s="22">
        <f>'On-Time Delivery Data'!K40</f>
        <v>129908</v>
      </c>
      <c r="L17" s="22">
        <f>'On-Time Delivery Data'!L40</f>
        <v>294146</v>
      </c>
      <c r="M17" s="22">
        <f>'On-Time Delivery Data'!M40</f>
        <v>141058</v>
      </c>
      <c r="N17" s="22">
        <f>'On-Time Delivery Data'!N40</f>
        <v>530642</v>
      </c>
      <c r="O17" s="23">
        <f>SUM(B17:N17)</f>
        <v>3631022</v>
      </c>
    </row>
    <row r="18" spans="1:19" s="16" customFormat="1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9" s="16" customFormat="1">
      <c r="A19" s="25" t="s">
        <v>27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9" s="16" customFormat="1">
      <c r="A20" s="26" t="s">
        <v>28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20"/>
      <c r="Q20" s="19"/>
      <c r="S20" s="19"/>
    </row>
    <row r="21" spans="1:19" s="16" customFormat="1">
      <c r="A21" s="16" t="s">
        <v>4</v>
      </c>
      <c r="B21" s="78">
        <f>'On-Time Delivery Data'!B51</f>
        <v>650</v>
      </c>
      <c r="C21" s="78">
        <f>'On-Time Delivery Data'!C51</f>
        <v>0</v>
      </c>
      <c r="D21" s="78">
        <f>'On-Time Delivery Data'!D51</f>
        <v>0</v>
      </c>
      <c r="E21" s="78">
        <f>'On-Time Delivery Data'!E51</f>
        <v>0</v>
      </c>
      <c r="F21" s="78">
        <f>'On-Time Delivery Data'!F51</f>
        <v>2000</v>
      </c>
      <c r="G21" s="78">
        <f>'On-Time Delivery Data'!G51</f>
        <v>1328</v>
      </c>
      <c r="H21" s="78">
        <f>'On-Time Delivery Data'!H51</f>
        <v>0</v>
      </c>
      <c r="I21" s="78">
        <f>'On-Time Delivery Data'!I51</f>
        <v>20600</v>
      </c>
      <c r="J21" s="78">
        <f>'On-Time Delivery Data'!J51</f>
        <v>350</v>
      </c>
      <c r="K21" s="78">
        <f>'On-Time Delivery Data'!K51</f>
        <v>2000</v>
      </c>
      <c r="L21" s="78">
        <f>'On-Time Delivery Data'!L51</f>
        <v>1100</v>
      </c>
      <c r="M21" s="78">
        <f>'On-Time Delivery Data'!M51</f>
        <v>5675</v>
      </c>
      <c r="N21" s="78">
        <f>'On-Time Delivery Data'!N51</f>
        <v>6238</v>
      </c>
      <c r="O21" s="23">
        <f>SUM(C21:N21)</f>
        <v>39291</v>
      </c>
    </row>
    <row r="22" spans="1:19" s="16" customFormat="1">
      <c r="B22" s="22"/>
      <c r="O22" s="23"/>
    </row>
    <row r="23" spans="1:19" s="16" customFormat="1">
      <c r="A23" s="16" t="s">
        <v>88</v>
      </c>
      <c r="B23" s="24">
        <f>IF(SUM(B3:B21)=0,"",SUM(B3:B21))</f>
        <v>1437532</v>
      </c>
      <c r="C23" s="24">
        <f t="shared" ref="C23:N23" si="0">IF(SUM(C3:C21)=0,"",SUM(C3:C21))</f>
        <v>1528839</v>
      </c>
      <c r="D23" s="24">
        <f t="shared" si="0"/>
        <v>1489772</v>
      </c>
      <c r="E23" s="24">
        <f t="shared" si="0"/>
        <v>1533540</v>
      </c>
      <c r="F23" s="24">
        <f t="shared" si="0"/>
        <v>1678549</v>
      </c>
      <c r="G23" s="24">
        <f t="shared" si="0"/>
        <v>1621415</v>
      </c>
      <c r="H23" s="24">
        <f t="shared" si="0"/>
        <v>1490300</v>
      </c>
      <c r="I23" s="24">
        <f t="shared" si="0"/>
        <v>1408035</v>
      </c>
      <c r="J23" s="24">
        <f t="shared" si="0"/>
        <v>2639901</v>
      </c>
      <c r="K23" s="24">
        <f t="shared" si="0"/>
        <v>1435608</v>
      </c>
      <c r="L23" s="24">
        <f t="shared" si="0"/>
        <v>1582246</v>
      </c>
      <c r="M23" s="24">
        <f t="shared" si="0"/>
        <v>2142333</v>
      </c>
      <c r="N23" s="24">
        <f t="shared" si="0"/>
        <v>4436790</v>
      </c>
      <c r="O23" s="23">
        <f>SUM(B23:N23)</f>
        <v>24424860</v>
      </c>
    </row>
    <row r="24" spans="1:19">
      <c r="A24" s="270" t="s">
        <v>222</v>
      </c>
      <c r="B24" s="271">
        <f>SUM(B23:E23)</f>
        <v>5989683</v>
      </c>
      <c r="C24" s="272" t="s">
        <v>19</v>
      </c>
    </row>
    <row r="25" spans="1:19">
      <c r="A25" s="270" t="s">
        <v>223</v>
      </c>
      <c r="B25" s="271">
        <f>SUM(F23:I23)</f>
        <v>6198299</v>
      </c>
      <c r="C25" s="272" t="s">
        <v>19</v>
      </c>
    </row>
    <row r="26" spans="1:19">
      <c r="A26" s="270" t="s">
        <v>224</v>
      </c>
      <c r="B26" s="271">
        <f>SUM(J23:N23)</f>
        <v>12236878</v>
      </c>
      <c r="C26" s="272" t="s">
        <v>19</v>
      </c>
    </row>
    <row r="28" spans="1:19">
      <c r="C28" s="18"/>
    </row>
  </sheetData>
  <phoneticPr fontId="0" type="noConversion"/>
  <conditionalFormatting sqref="B21:B22 B9:N11 B13:N19 B5:N7 C21:N21">
    <cfRule type="cellIs" dxfId="5" priority="1" stopIfTrue="1" operator="equal">
      <formula>0</formula>
    </cfRule>
  </conditionalFormatting>
  <hyperlinks>
    <hyperlink ref="A2" location="'Exec Summary, Metric Goals'!A1" display="Back"/>
  </hyperlinks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9" enableFormatConditionsCalculation="0">
    <tabColor theme="0" tint="-0.249977111117893"/>
  </sheetPr>
  <dimension ref="A1:W143"/>
  <sheetViews>
    <sheetView showGridLines="0"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2" sqref="A2"/>
    </sheetView>
  </sheetViews>
  <sheetFormatPr defaultColWidth="10.28515625" defaultRowHeight="12.75"/>
  <cols>
    <col min="1" max="1" width="24.85546875" style="30" customWidth="1"/>
    <col min="2" max="8" width="10.28515625" style="30"/>
    <col min="9" max="9" width="11.85546875" style="30" customWidth="1"/>
    <col min="10" max="12" width="12.7109375" style="30" bestFit="1" customWidth="1"/>
    <col min="13" max="13" width="11.5703125" style="30" bestFit="1" customWidth="1"/>
    <col min="14" max="14" width="12.7109375" style="30" bestFit="1" customWidth="1"/>
    <col min="15" max="15" width="11" style="30" bestFit="1" customWidth="1"/>
    <col min="16" max="16384" width="10.28515625" style="30"/>
  </cols>
  <sheetData>
    <row r="1" spans="1:17" ht="18">
      <c r="A1" s="182" t="s">
        <v>33</v>
      </c>
      <c r="B1" s="183"/>
      <c r="C1" s="183"/>
    </row>
    <row r="2" spans="1:17">
      <c r="A2" s="81" t="s">
        <v>228</v>
      </c>
      <c r="F2" s="28"/>
    </row>
    <row r="3" spans="1:17" s="32" customFormat="1">
      <c r="A3" s="43" t="s">
        <v>34</v>
      </c>
      <c r="B3" s="80">
        <v>27</v>
      </c>
      <c r="C3" s="80">
        <v>28</v>
      </c>
      <c r="D3" s="80">
        <v>29</v>
      </c>
      <c r="E3" s="80">
        <v>30</v>
      </c>
      <c r="F3" s="80">
        <v>31</v>
      </c>
      <c r="G3" s="80">
        <v>32</v>
      </c>
      <c r="H3" s="80">
        <v>33</v>
      </c>
      <c r="I3" s="80">
        <v>34</v>
      </c>
      <c r="J3" s="80">
        <v>35</v>
      </c>
      <c r="K3" s="80">
        <v>36</v>
      </c>
      <c r="L3" s="80">
        <v>37</v>
      </c>
      <c r="M3" s="80">
        <v>38</v>
      </c>
      <c r="N3" s="80">
        <v>39</v>
      </c>
      <c r="O3" s="44" t="s">
        <v>213</v>
      </c>
      <c r="P3" s="41" t="s">
        <v>12</v>
      </c>
      <c r="Q3" s="52" t="s">
        <v>214</v>
      </c>
    </row>
    <row r="4" spans="1:17">
      <c r="A4" s="39" t="s">
        <v>22</v>
      </c>
      <c r="B4" s="49">
        <v>40914</v>
      </c>
      <c r="C4" s="49">
        <v>40921</v>
      </c>
      <c r="D4" s="49">
        <v>40928</v>
      </c>
      <c r="E4" s="49">
        <v>40935</v>
      </c>
      <c r="F4" s="49">
        <v>40942</v>
      </c>
      <c r="G4" s="49">
        <v>40949</v>
      </c>
      <c r="H4" s="49">
        <v>40956</v>
      </c>
      <c r="I4" s="49">
        <v>40963</v>
      </c>
      <c r="J4" s="49">
        <v>40970</v>
      </c>
      <c r="K4" s="49">
        <v>40977</v>
      </c>
      <c r="L4" s="49">
        <v>40984</v>
      </c>
      <c r="M4" s="49">
        <v>40991</v>
      </c>
      <c r="N4" s="49">
        <v>40998</v>
      </c>
      <c r="O4" s="45"/>
      <c r="P4" s="42"/>
      <c r="Q4" s="34"/>
    </row>
    <row r="5" spans="1:17" ht="15.75" customHeight="1">
      <c r="A5" s="33" t="s">
        <v>13</v>
      </c>
      <c r="B5" s="94" t="e">
        <f>SUM(B6-(B7+B8))/B6</f>
        <v>#DIV/0!</v>
      </c>
      <c r="C5" s="94" t="e">
        <f t="shared" ref="C5:N5" si="0">SUM(C6-(C7+C8))/C6</f>
        <v>#DIV/0!</v>
      </c>
      <c r="D5" s="94" t="e">
        <f t="shared" si="0"/>
        <v>#DIV/0!</v>
      </c>
      <c r="E5" s="94" t="e">
        <f t="shared" si="0"/>
        <v>#DIV/0!</v>
      </c>
      <c r="F5" s="94" t="e">
        <f t="shared" si="0"/>
        <v>#DIV/0!</v>
      </c>
      <c r="G5" s="94" t="e">
        <f t="shared" si="0"/>
        <v>#DIV/0!</v>
      </c>
      <c r="H5" s="94" t="e">
        <f t="shared" si="0"/>
        <v>#DIV/0!</v>
      </c>
      <c r="I5" s="94">
        <f t="shared" si="0"/>
        <v>0.86742728637228761</v>
      </c>
      <c r="J5" s="94">
        <f t="shared" si="0"/>
        <v>0.87522141104661599</v>
      </c>
      <c r="K5" s="94">
        <f t="shared" si="0"/>
        <v>0.87296201647653804</v>
      </c>
      <c r="L5" s="94">
        <f t="shared" si="0"/>
        <v>0.86345102569203835</v>
      </c>
      <c r="M5" s="94">
        <f t="shared" si="0"/>
        <v>0.88459449335081475</v>
      </c>
      <c r="N5" s="94">
        <f t="shared" si="0"/>
        <v>0.91175499022679307</v>
      </c>
      <c r="O5" s="27">
        <f>SUM(O6-O7)/O6</f>
        <v>0.8799638797067918</v>
      </c>
      <c r="P5" s="27">
        <v>0.93</v>
      </c>
      <c r="Q5" s="51" t="s">
        <v>90</v>
      </c>
    </row>
    <row r="6" spans="1:17">
      <c r="A6" s="33" t="s">
        <v>199</v>
      </c>
      <c r="B6" s="262">
        <v>0</v>
      </c>
      <c r="C6" s="262">
        <v>0</v>
      </c>
      <c r="D6" s="262">
        <v>0</v>
      </c>
      <c r="E6" s="262">
        <v>0</v>
      </c>
      <c r="F6" s="262">
        <v>0</v>
      </c>
      <c r="G6" s="262">
        <v>0</v>
      </c>
      <c r="H6" s="262">
        <v>0</v>
      </c>
      <c r="I6" s="262">
        <v>969385</v>
      </c>
      <c r="J6" s="262">
        <v>1336880</v>
      </c>
      <c r="K6" s="262">
        <v>1042452</v>
      </c>
      <c r="L6" s="262">
        <v>1452629</v>
      </c>
      <c r="M6" s="262">
        <v>961020</v>
      </c>
      <c r="N6" s="262">
        <v>1425837</v>
      </c>
      <c r="O6" s="263">
        <f>SUM(B6:N6)</f>
        <v>7188203</v>
      </c>
      <c r="P6" s="40"/>
      <c r="Q6" s="40"/>
    </row>
    <row r="7" spans="1:17">
      <c r="A7" s="33" t="s">
        <v>200</v>
      </c>
      <c r="B7" s="262">
        <v>0</v>
      </c>
      <c r="C7" s="262">
        <v>0</v>
      </c>
      <c r="D7" s="262">
        <v>0</v>
      </c>
      <c r="E7" s="262">
        <v>0</v>
      </c>
      <c r="F7" s="262">
        <v>0</v>
      </c>
      <c r="G7" s="262">
        <v>0</v>
      </c>
      <c r="H7" s="262">
        <v>0</v>
      </c>
      <c r="I7" s="262">
        <v>128514</v>
      </c>
      <c r="J7" s="262">
        <v>166814</v>
      </c>
      <c r="K7" s="262">
        <v>132431</v>
      </c>
      <c r="L7" s="262">
        <v>198355</v>
      </c>
      <c r="M7" s="262">
        <v>110907</v>
      </c>
      <c r="N7" s="262">
        <v>125823</v>
      </c>
      <c r="O7" s="263">
        <f>SUM(B7:N7)</f>
        <v>862844</v>
      </c>
      <c r="P7" s="33"/>
    </row>
    <row r="8" spans="1:17">
      <c r="A8" s="33" t="s">
        <v>201</v>
      </c>
      <c r="B8" s="262">
        <v>0</v>
      </c>
      <c r="C8" s="262">
        <v>0</v>
      </c>
      <c r="D8" s="262">
        <v>0</v>
      </c>
      <c r="E8" s="262">
        <v>0</v>
      </c>
      <c r="F8" s="262">
        <v>0</v>
      </c>
      <c r="G8" s="262">
        <v>0</v>
      </c>
      <c r="H8" s="262">
        <v>0</v>
      </c>
      <c r="I8" s="262">
        <v>0</v>
      </c>
      <c r="J8" s="262">
        <v>0</v>
      </c>
      <c r="K8" s="262">
        <v>0</v>
      </c>
      <c r="L8" s="262">
        <v>0</v>
      </c>
      <c r="M8" s="262">
        <v>0</v>
      </c>
      <c r="N8" s="262">
        <v>0</v>
      </c>
      <c r="O8" s="263">
        <f>SUM(B8:N8)</f>
        <v>0</v>
      </c>
      <c r="P8" s="33"/>
    </row>
    <row r="9" spans="1:17">
      <c r="C9" s="28"/>
      <c r="D9" s="129"/>
      <c r="N9" s="129"/>
    </row>
    <row r="10" spans="1:17" ht="18">
      <c r="A10" s="182" t="s">
        <v>35</v>
      </c>
      <c r="B10" s="183"/>
      <c r="C10" s="183"/>
    </row>
    <row r="11" spans="1:17">
      <c r="A11" s="79"/>
      <c r="G11" s="76"/>
      <c r="I11" s="76"/>
    </row>
    <row r="12" spans="1:17" s="32" customFormat="1">
      <c r="A12" s="31" t="s">
        <v>34</v>
      </c>
      <c r="B12" s="238">
        <f>B3</f>
        <v>27</v>
      </c>
      <c r="C12" s="80">
        <f>B12+1</f>
        <v>28</v>
      </c>
      <c r="D12" s="80">
        <f t="shared" ref="D12:L12" si="1">C12+1</f>
        <v>29</v>
      </c>
      <c r="E12" s="80">
        <f t="shared" si="1"/>
        <v>30</v>
      </c>
      <c r="F12" s="80">
        <f t="shared" si="1"/>
        <v>31</v>
      </c>
      <c r="G12" s="80">
        <f t="shared" si="1"/>
        <v>32</v>
      </c>
      <c r="H12" s="80">
        <f t="shared" si="1"/>
        <v>33</v>
      </c>
      <c r="I12" s="80">
        <f t="shared" si="1"/>
        <v>34</v>
      </c>
      <c r="J12" s="80">
        <f t="shared" si="1"/>
        <v>35</v>
      </c>
      <c r="K12" s="80">
        <f t="shared" si="1"/>
        <v>36</v>
      </c>
      <c r="L12" s="80">
        <f t="shared" si="1"/>
        <v>37</v>
      </c>
      <c r="M12" s="80">
        <f>L12+1</f>
        <v>38</v>
      </c>
      <c r="N12" s="80">
        <f>M12+1</f>
        <v>39</v>
      </c>
      <c r="O12" s="44" t="str">
        <f>O3</f>
        <v>Q3 Cum</v>
      </c>
      <c r="P12" s="41" t="s">
        <v>12</v>
      </c>
      <c r="Q12" s="52" t="str">
        <f>Q3</f>
        <v>CQ4 Goal</v>
      </c>
    </row>
    <row r="13" spans="1:17">
      <c r="A13" s="33" t="s">
        <v>22</v>
      </c>
      <c r="B13" s="49">
        <f>B4</f>
        <v>40914</v>
      </c>
      <c r="C13" s="49">
        <f t="shared" ref="C13:L13" si="2">+B13+7</f>
        <v>40921</v>
      </c>
      <c r="D13" s="49">
        <f t="shared" si="2"/>
        <v>40928</v>
      </c>
      <c r="E13" s="49">
        <f t="shared" si="2"/>
        <v>40935</v>
      </c>
      <c r="F13" s="49">
        <f t="shared" si="2"/>
        <v>40942</v>
      </c>
      <c r="G13" s="49">
        <f t="shared" si="2"/>
        <v>40949</v>
      </c>
      <c r="H13" s="49">
        <f t="shared" si="2"/>
        <v>40956</v>
      </c>
      <c r="I13" s="49">
        <f t="shared" si="2"/>
        <v>40963</v>
      </c>
      <c r="J13" s="49">
        <f t="shared" si="2"/>
        <v>40970</v>
      </c>
      <c r="K13" s="49">
        <f t="shared" si="2"/>
        <v>40977</v>
      </c>
      <c r="L13" s="49">
        <f t="shared" si="2"/>
        <v>40984</v>
      </c>
      <c r="M13" s="49">
        <f>+L13+7</f>
        <v>40991</v>
      </c>
      <c r="N13" s="49">
        <f>+M13+7</f>
        <v>40998</v>
      </c>
      <c r="O13" s="45"/>
      <c r="P13" s="42"/>
      <c r="Q13" s="53"/>
    </row>
    <row r="14" spans="1:17">
      <c r="A14" s="33" t="s">
        <v>13</v>
      </c>
      <c r="B14" s="29">
        <f>SUM(B16-B18)/B15</f>
        <v>0.98000051308927383</v>
      </c>
      <c r="C14" s="29">
        <f t="shared" ref="C14:N14" si="3">SUM(C16-C18)/C15</f>
        <v>0.97975643367416587</v>
      </c>
      <c r="D14" s="29">
        <f t="shared" si="3"/>
        <v>0.95949688316489323</v>
      </c>
      <c r="E14" s="29">
        <f>SUM(E16-E18)/E15</f>
        <v>0.98427960983128016</v>
      </c>
      <c r="F14" s="29">
        <f t="shared" si="3"/>
        <v>0.98355414014654297</v>
      </c>
      <c r="G14" s="29">
        <f t="shared" si="3"/>
        <v>0.95194951790393878</v>
      </c>
      <c r="H14" s="29">
        <f t="shared" si="3"/>
        <v>0.98253803278852614</v>
      </c>
      <c r="I14" s="29">
        <f t="shared" si="3"/>
        <v>0.98384236655175128</v>
      </c>
      <c r="J14" s="29">
        <f t="shared" si="3"/>
        <v>0.98544316808930665</v>
      </c>
      <c r="K14" s="29">
        <f t="shared" si="3"/>
        <v>0.97954641763090389</v>
      </c>
      <c r="L14" s="29">
        <f t="shared" si="3"/>
        <v>0.94476382924981051</v>
      </c>
      <c r="M14" s="29">
        <f t="shared" si="3"/>
        <v>0.95555928392384948</v>
      </c>
      <c r="N14" s="29">
        <f t="shared" si="3"/>
        <v>0.96504626140944427</v>
      </c>
      <c r="O14" s="27">
        <f>SUM(O16-O18)/O15</f>
        <v>0.96964358173404908</v>
      </c>
      <c r="P14" s="27">
        <v>0.94499999999999995</v>
      </c>
      <c r="Q14" s="51" t="s">
        <v>90</v>
      </c>
    </row>
    <row r="15" spans="1:17">
      <c r="A15" s="33" t="s">
        <v>199</v>
      </c>
      <c r="B15" s="262">
        <v>818571</v>
      </c>
      <c r="C15" s="262">
        <v>615356</v>
      </c>
      <c r="D15" s="262">
        <v>1238917</v>
      </c>
      <c r="E15" s="262">
        <v>1383299</v>
      </c>
      <c r="F15" s="262">
        <v>1330122</v>
      </c>
      <c r="G15" s="262">
        <v>1407707</v>
      </c>
      <c r="H15" s="262">
        <v>1198834</v>
      </c>
      <c r="I15" s="262">
        <v>1170716</v>
      </c>
      <c r="J15" s="262">
        <v>1775455</v>
      </c>
      <c r="K15" s="262">
        <v>1545695</v>
      </c>
      <c r="L15" s="262">
        <v>2276425</v>
      </c>
      <c r="M15" s="262">
        <v>2092068</v>
      </c>
      <c r="N15" s="262">
        <v>1154526</v>
      </c>
      <c r="O15" s="263">
        <f>SUM(B15:N15)</f>
        <v>18007691</v>
      </c>
      <c r="P15" s="40"/>
      <c r="Q15" s="40"/>
    </row>
    <row r="16" spans="1:17">
      <c r="A16" s="33" t="s">
        <v>202</v>
      </c>
      <c r="B16" s="262">
        <v>802200</v>
      </c>
      <c r="C16" s="262">
        <v>602899</v>
      </c>
      <c r="D16" s="262">
        <v>1226327</v>
      </c>
      <c r="E16" s="262">
        <v>1361553</v>
      </c>
      <c r="F16" s="262">
        <v>1308247</v>
      </c>
      <c r="G16" s="262">
        <v>1395420</v>
      </c>
      <c r="H16" s="262">
        <v>1177900</v>
      </c>
      <c r="I16" s="262">
        <v>1151800</v>
      </c>
      <c r="J16" s="262">
        <v>1749610</v>
      </c>
      <c r="K16" s="262">
        <v>1514080</v>
      </c>
      <c r="L16" s="262">
        <v>2233236</v>
      </c>
      <c r="M16" s="262">
        <v>2052900</v>
      </c>
      <c r="N16" s="262">
        <v>1143200</v>
      </c>
      <c r="O16" s="263">
        <f>SUM(B16:N16)</f>
        <v>17719372</v>
      </c>
      <c r="P16" s="33"/>
    </row>
    <row r="17" spans="1:17">
      <c r="A17" s="33" t="s">
        <v>200</v>
      </c>
      <c r="B17" s="264">
        <f>B15-B16</f>
        <v>16371</v>
      </c>
      <c r="C17" s="264">
        <f t="shared" ref="C17:H17" si="4">C15-C16</f>
        <v>12457</v>
      </c>
      <c r="D17" s="264">
        <f t="shared" si="4"/>
        <v>12590</v>
      </c>
      <c r="E17" s="264">
        <f t="shared" si="4"/>
        <v>21746</v>
      </c>
      <c r="F17" s="264">
        <f t="shared" si="4"/>
        <v>21875</v>
      </c>
      <c r="G17" s="264">
        <f t="shared" si="4"/>
        <v>12287</v>
      </c>
      <c r="H17" s="264">
        <f t="shared" si="4"/>
        <v>20934</v>
      </c>
      <c r="I17" s="265">
        <f t="shared" ref="I17:O17" si="5">I15-I16</f>
        <v>18916</v>
      </c>
      <c r="J17" s="265">
        <f t="shared" si="5"/>
        <v>25845</v>
      </c>
      <c r="K17" s="265">
        <f t="shared" si="5"/>
        <v>31615</v>
      </c>
      <c r="L17" s="265">
        <f t="shared" si="5"/>
        <v>43189</v>
      </c>
      <c r="M17" s="265">
        <f>M15-M16</f>
        <v>39168</v>
      </c>
      <c r="N17" s="265">
        <f>N15-N16</f>
        <v>11326</v>
      </c>
      <c r="O17" s="265">
        <f t="shared" si="5"/>
        <v>288319</v>
      </c>
      <c r="P17" s="33"/>
    </row>
    <row r="18" spans="1:17">
      <c r="A18" s="33" t="s">
        <v>201</v>
      </c>
      <c r="B18" s="262">
        <v>0</v>
      </c>
      <c r="C18" s="262">
        <v>0</v>
      </c>
      <c r="D18" s="262">
        <v>37590</v>
      </c>
      <c r="E18" s="262">
        <v>0</v>
      </c>
      <c r="F18" s="262">
        <v>0</v>
      </c>
      <c r="G18" s="262">
        <v>55354</v>
      </c>
      <c r="H18" s="262">
        <v>0</v>
      </c>
      <c r="I18" s="262">
        <v>0</v>
      </c>
      <c r="J18" s="262">
        <v>0</v>
      </c>
      <c r="K18" s="262">
        <v>0</v>
      </c>
      <c r="L18" s="262">
        <v>82552</v>
      </c>
      <c r="M18" s="262">
        <v>53805</v>
      </c>
      <c r="N18" s="262">
        <v>29029</v>
      </c>
      <c r="O18" s="263">
        <f>SUM(B18:N18)</f>
        <v>258330</v>
      </c>
      <c r="P18" s="33"/>
    </row>
    <row r="19" spans="1:17">
      <c r="A19" s="35"/>
      <c r="B19" s="36"/>
      <c r="C19" s="36"/>
      <c r="D19" s="36"/>
      <c r="E19" s="36"/>
      <c r="F19" s="36"/>
      <c r="G19" s="36"/>
      <c r="H19" s="243"/>
      <c r="I19" s="242"/>
      <c r="J19" s="36"/>
      <c r="K19" s="36"/>
      <c r="L19" s="36"/>
      <c r="M19" s="36"/>
      <c r="N19" s="36"/>
      <c r="O19" s="36"/>
      <c r="P19" s="35"/>
    </row>
    <row r="20" spans="1:17" ht="18">
      <c r="A20" s="182" t="s">
        <v>36</v>
      </c>
      <c r="B20" s="183"/>
      <c r="C20" s="183"/>
    </row>
    <row r="21" spans="1:17">
      <c r="A21" s="79"/>
      <c r="G21" s="76"/>
    </row>
    <row r="22" spans="1:17" s="32" customFormat="1">
      <c r="A22" s="31" t="s">
        <v>34</v>
      </c>
      <c r="B22" s="80">
        <f>B12</f>
        <v>27</v>
      </c>
      <c r="C22" s="80">
        <f>B22+1</f>
        <v>28</v>
      </c>
      <c r="D22" s="80">
        <f t="shared" ref="D22:L22" si="6">C22+1</f>
        <v>29</v>
      </c>
      <c r="E22" s="80">
        <f t="shared" si="6"/>
        <v>30</v>
      </c>
      <c r="F22" s="80">
        <f t="shared" si="6"/>
        <v>31</v>
      </c>
      <c r="G22" s="80">
        <f t="shared" si="6"/>
        <v>32</v>
      </c>
      <c r="H22" s="80">
        <f t="shared" si="6"/>
        <v>33</v>
      </c>
      <c r="I22" s="80">
        <f t="shared" si="6"/>
        <v>34</v>
      </c>
      <c r="J22" s="80">
        <f t="shared" si="6"/>
        <v>35</v>
      </c>
      <c r="K22" s="80">
        <f t="shared" si="6"/>
        <v>36</v>
      </c>
      <c r="L22" s="80">
        <f t="shared" si="6"/>
        <v>37</v>
      </c>
      <c r="M22" s="80">
        <f>L22+1</f>
        <v>38</v>
      </c>
      <c r="N22" s="80">
        <f>M22+1</f>
        <v>39</v>
      </c>
      <c r="O22" s="44" t="str">
        <f>O3</f>
        <v>Q3 Cum</v>
      </c>
      <c r="P22" s="41" t="s">
        <v>12</v>
      </c>
      <c r="Q22" s="52" t="str">
        <f>Q12</f>
        <v>CQ4 Goal</v>
      </c>
    </row>
    <row r="23" spans="1:17">
      <c r="A23" s="33" t="s">
        <v>22</v>
      </c>
      <c r="B23" s="49">
        <f>B13</f>
        <v>40914</v>
      </c>
      <c r="C23" s="49">
        <f t="shared" ref="C23:L23" si="7">+B23+7</f>
        <v>40921</v>
      </c>
      <c r="D23" s="49">
        <f t="shared" si="7"/>
        <v>40928</v>
      </c>
      <c r="E23" s="49">
        <f t="shared" si="7"/>
        <v>40935</v>
      </c>
      <c r="F23" s="49">
        <f t="shared" si="7"/>
        <v>40942</v>
      </c>
      <c r="G23" s="49">
        <f t="shared" si="7"/>
        <v>40949</v>
      </c>
      <c r="H23" s="49">
        <f t="shared" si="7"/>
        <v>40956</v>
      </c>
      <c r="I23" s="49">
        <f t="shared" si="7"/>
        <v>40963</v>
      </c>
      <c r="J23" s="49">
        <f t="shared" si="7"/>
        <v>40970</v>
      </c>
      <c r="K23" s="49">
        <f t="shared" si="7"/>
        <v>40977</v>
      </c>
      <c r="L23" s="49">
        <f t="shared" si="7"/>
        <v>40984</v>
      </c>
      <c r="M23" s="49">
        <f>+L23+7</f>
        <v>40991</v>
      </c>
      <c r="N23" s="49">
        <f>+M23+7</f>
        <v>40998</v>
      </c>
      <c r="O23" s="45"/>
      <c r="P23" s="42"/>
      <c r="Q23" s="53"/>
    </row>
    <row r="24" spans="1:17">
      <c r="A24" s="33" t="s">
        <v>13</v>
      </c>
      <c r="B24" s="27" t="e">
        <f>SUM(B26-B28)/B25</f>
        <v>#DIV/0!</v>
      </c>
      <c r="C24" s="29" t="e">
        <f t="shared" ref="C24:N24" si="8">SUM(C26-C28)/C25</f>
        <v>#DIV/0!</v>
      </c>
      <c r="D24" s="27" t="e">
        <f t="shared" si="8"/>
        <v>#DIV/0!</v>
      </c>
      <c r="E24" s="27" t="e">
        <f t="shared" si="8"/>
        <v>#DIV/0!</v>
      </c>
      <c r="F24" s="27" t="e">
        <f t="shared" si="8"/>
        <v>#DIV/0!</v>
      </c>
      <c r="G24" s="29" t="e">
        <f t="shared" si="8"/>
        <v>#DIV/0!</v>
      </c>
      <c r="H24" s="27" t="e">
        <f t="shared" si="8"/>
        <v>#DIV/0!</v>
      </c>
      <c r="I24" s="29" t="e">
        <f>SUM(I26-I28)/I25</f>
        <v>#DIV/0!</v>
      </c>
      <c r="J24" s="29">
        <f t="shared" si="8"/>
        <v>1</v>
      </c>
      <c r="K24" s="29">
        <f t="shared" si="8"/>
        <v>1</v>
      </c>
      <c r="L24" s="29">
        <f t="shared" si="8"/>
        <v>1</v>
      </c>
      <c r="M24" s="27">
        <f t="shared" si="8"/>
        <v>1</v>
      </c>
      <c r="N24" s="29">
        <f t="shared" si="8"/>
        <v>1</v>
      </c>
      <c r="O24" s="27">
        <f>SUM(O26-O28)/O25</f>
        <v>1</v>
      </c>
      <c r="P24" s="27">
        <v>0.98299999999999998</v>
      </c>
      <c r="Q24" s="51" t="s">
        <v>90</v>
      </c>
    </row>
    <row r="25" spans="1:17">
      <c r="A25" s="33" t="s">
        <v>199</v>
      </c>
      <c r="B25" s="262">
        <v>0</v>
      </c>
      <c r="C25" s="262">
        <v>0</v>
      </c>
      <c r="D25" s="262">
        <v>0</v>
      </c>
      <c r="E25" s="262">
        <v>0</v>
      </c>
      <c r="F25" s="262">
        <v>0</v>
      </c>
      <c r="G25" s="262">
        <v>0</v>
      </c>
      <c r="H25" s="262">
        <v>0</v>
      </c>
      <c r="I25" s="262">
        <v>0</v>
      </c>
      <c r="J25" s="262">
        <v>100000</v>
      </c>
      <c r="K25" s="262">
        <v>400000</v>
      </c>
      <c r="L25" s="262">
        <v>702100</v>
      </c>
      <c r="M25" s="262">
        <v>1200100</v>
      </c>
      <c r="N25" s="262">
        <v>2098500</v>
      </c>
      <c r="O25" s="263">
        <f>SUM(B25:N25)</f>
        <v>4500700</v>
      </c>
      <c r="P25" s="40"/>
      <c r="Q25" s="40"/>
    </row>
    <row r="26" spans="1:17" ht="14.25" customHeight="1">
      <c r="A26" s="33" t="s">
        <v>202</v>
      </c>
      <c r="B26" s="262">
        <v>0</v>
      </c>
      <c r="C26" s="262">
        <v>0</v>
      </c>
      <c r="D26" s="262">
        <v>0</v>
      </c>
      <c r="E26" s="262">
        <v>0</v>
      </c>
      <c r="F26" s="262">
        <v>0</v>
      </c>
      <c r="G26" s="262">
        <v>0</v>
      </c>
      <c r="H26" s="262">
        <v>0</v>
      </c>
      <c r="I26" s="262">
        <v>0</v>
      </c>
      <c r="J26" s="262">
        <v>100000</v>
      </c>
      <c r="K26" s="262">
        <v>400000</v>
      </c>
      <c r="L26" s="262">
        <v>702100</v>
      </c>
      <c r="M26" s="262">
        <v>1200100</v>
      </c>
      <c r="N26" s="262">
        <v>2098500</v>
      </c>
      <c r="O26" s="263">
        <f>SUM(B26:N26)</f>
        <v>4500700</v>
      </c>
      <c r="P26" s="33"/>
    </row>
    <row r="27" spans="1:17">
      <c r="A27" s="33" t="s">
        <v>200</v>
      </c>
      <c r="B27" s="265">
        <f>B25-B26</f>
        <v>0</v>
      </c>
      <c r="C27" s="265">
        <f t="shared" ref="C27:K27" si="9">C25-C26</f>
        <v>0</v>
      </c>
      <c r="D27" s="265">
        <f t="shared" si="9"/>
        <v>0</v>
      </c>
      <c r="E27" s="265">
        <f t="shared" si="9"/>
        <v>0</v>
      </c>
      <c r="F27" s="265">
        <f t="shared" si="9"/>
        <v>0</v>
      </c>
      <c r="G27" s="265">
        <f t="shared" si="9"/>
        <v>0</v>
      </c>
      <c r="H27" s="265">
        <f t="shared" si="9"/>
        <v>0</v>
      </c>
      <c r="I27" s="265">
        <f t="shared" si="9"/>
        <v>0</v>
      </c>
      <c r="J27" s="265">
        <f t="shared" si="9"/>
        <v>0</v>
      </c>
      <c r="K27" s="265">
        <f t="shared" si="9"/>
        <v>0</v>
      </c>
      <c r="L27" s="265">
        <f>L25-L26</f>
        <v>0</v>
      </c>
      <c r="M27" s="265">
        <f>M25-M26</f>
        <v>0</v>
      </c>
      <c r="N27" s="265">
        <f>N25-N26</f>
        <v>0</v>
      </c>
      <c r="O27" s="265">
        <f>O25-O26</f>
        <v>0</v>
      </c>
      <c r="P27" s="33"/>
    </row>
    <row r="28" spans="1:17">
      <c r="A28" s="33" t="s">
        <v>201</v>
      </c>
      <c r="B28" s="262">
        <v>0</v>
      </c>
      <c r="C28" s="262">
        <v>0</v>
      </c>
      <c r="D28" s="262">
        <v>0</v>
      </c>
      <c r="E28" s="262">
        <v>0</v>
      </c>
      <c r="F28" s="262">
        <v>0</v>
      </c>
      <c r="G28" s="262">
        <v>0</v>
      </c>
      <c r="H28" s="262">
        <v>0</v>
      </c>
      <c r="I28" s="262">
        <v>0</v>
      </c>
      <c r="J28" s="262">
        <v>0</v>
      </c>
      <c r="K28" s="262">
        <v>0</v>
      </c>
      <c r="L28" s="262">
        <v>0</v>
      </c>
      <c r="M28" s="262">
        <v>0</v>
      </c>
      <c r="N28" s="262">
        <v>0</v>
      </c>
      <c r="O28" s="263">
        <f>SUM(B28:N28)</f>
        <v>0</v>
      </c>
      <c r="P28" s="33"/>
    </row>
    <row r="29" spans="1:17" ht="20.25" customHeight="1"/>
    <row r="30" spans="1:17" ht="18">
      <c r="A30" s="182" t="s">
        <v>37</v>
      </c>
      <c r="B30" s="183"/>
      <c r="C30" s="183"/>
    </row>
    <row r="31" spans="1:17">
      <c r="A31" s="79"/>
      <c r="B31" s="129"/>
      <c r="C31" s="129"/>
      <c r="D31" s="129"/>
      <c r="E31" s="129"/>
      <c r="F31" s="129"/>
      <c r="G31" s="129"/>
      <c r="H31" s="129"/>
      <c r="I31" s="129"/>
    </row>
    <row r="32" spans="1:17" s="32" customFormat="1">
      <c r="A32" s="31" t="s">
        <v>34</v>
      </c>
      <c r="B32" s="80">
        <f>B22</f>
        <v>27</v>
      </c>
      <c r="C32" s="80">
        <f>B32+1</f>
        <v>28</v>
      </c>
      <c r="D32" s="80">
        <f t="shared" ref="D32:L32" si="10">C32+1</f>
        <v>29</v>
      </c>
      <c r="E32" s="80">
        <f t="shared" si="10"/>
        <v>30</v>
      </c>
      <c r="F32" s="80">
        <f t="shared" si="10"/>
        <v>31</v>
      </c>
      <c r="G32" s="80">
        <f t="shared" si="10"/>
        <v>32</v>
      </c>
      <c r="H32" s="80">
        <f t="shared" si="10"/>
        <v>33</v>
      </c>
      <c r="I32" s="80">
        <f t="shared" si="10"/>
        <v>34</v>
      </c>
      <c r="J32" s="80">
        <f t="shared" si="10"/>
        <v>35</v>
      </c>
      <c r="K32" s="80">
        <f t="shared" si="10"/>
        <v>36</v>
      </c>
      <c r="L32" s="80">
        <f t="shared" si="10"/>
        <v>37</v>
      </c>
      <c r="M32" s="80">
        <f>L32+1</f>
        <v>38</v>
      </c>
      <c r="N32" s="80">
        <f>M32+1</f>
        <v>39</v>
      </c>
      <c r="O32" s="44" t="str">
        <f>O22</f>
        <v>Q3 Cum</v>
      </c>
      <c r="P32" s="41" t="s">
        <v>12</v>
      </c>
      <c r="Q32" s="52" t="str">
        <f>Q22</f>
        <v>CQ4 Goal</v>
      </c>
    </row>
    <row r="33" spans="1:18">
      <c r="A33" s="33" t="s">
        <v>22</v>
      </c>
      <c r="B33" s="49">
        <f>B23</f>
        <v>40914</v>
      </c>
      <c r="C33" s="49">
        <f t="shared" ref="C33:L33" si="11">+B33+7</f>
        <v>40921</v>
      </c>
      <c r="D33" s="49">
        <f t="shared" si="11"/>
        <v>40928</v>
      </c>
      <c r="E33" s="49">
        <f t="shared" si="11"/>
        <v>40935</v>
      </c>
      <c r="F33" s="49">
        <f t="shared" si="11"/>
        <v>40942</v>
      </c>
      <c r="G33" s="49">
        <f t="shared" si="11"/>
        <v>40949</v>
      </c>
      <c r="H33" s="49">
        <f t="shared" si="11"/>
        <v>40956</v>
      </c>
      <c r="I33" s="49">
        <f t="shared" si="11"/>
        <v>40963</v>
      </c>
      <c r="J33" s="49">
        <f t="shared" si="11"/>
        <v>40970</v>
      </c>
      <c r="K33" s="49">
        <f t="shared" si="11"/>
        <v>40977</v>
      </c>
      <c r="L33" s="49">
        <f t="shared" si="11"/>
        <v>40984</v>
      </c>
      <c r="M33" s="49">
        <f>+L33+7</f>
        <v>40991</v>
      </c>
      <c r="N33" s="49">
        <f>+M33+7</f>
        <v>40998</v>
      </c>
      <c r="O33" s="45"/>
      <c r="P33" s="42"/>
      <c r="Q33" s="53"/>
    </row>
    <row r="34" spans="1:18">
      <c r="A34" s="33" t="s">
        <v>13</v>
      </c>
      <c r="B34" s="29" t="e">
        <f>SUM(B36-B38)/B35</f>
        <v>#DIV/0!</v>
      </c>
      <c r="C34" s="29" t="e">
        <f t="shared" ref="C34:N34" si="12">SUM(C36-C38)/C35</f>
        <v>#DIV/0!</v>
      </c>
      <c r="D34" s="29" t="e">
        <f t="shared" si="12"/>
        <v>#DIV/0!</v>
      </c>
      <c r="E34" s="29" t="e">
        <f t="shared" si="12"/>
        <v>#DIV/0!</v>
      </c>
      <c r="F34" s="29" t="e">
        <f t="shared" si="12"/>
        <v>#DIV/0!</v>
      </c>
      <c r="G34" s="29">
        <f t="shared" si="12"/>
        <v>0.6156329406716593</v>
      </c>
      <c r="H34" s="29">
        <f t="shared" si="12"/>
        <v>0.97087687206234974</v>
      </c>
      <c r="I34" s="29">
        <f t="shared" si="12"/>
        <v>0.90685569597410431</v>
      </c>
      <c r="J34" s="29">
        <f t="shared" si="12"/>
        <v>0.98233497639855361</v>
      </c>
      <c r="K34" s="29">
        <f t="shared" si="12"/>
        <v>0.98144329115267681</v>
      </c>
      <c r="L34" s="29">
        <f t="shared" si="12"/>
        <v>0.92666604427908161</v>
      </c>
      <c r="M34" s="29">
        <f t="shared" si="12"/>
        <v>0.98705005039159499</v>
      </c>
      <c r="N34" s="29">
        <f t="shared" si="12"/>
        <v>0.98635767011488273</v>
      </c>
      <c r="O34" s="27">
        <f>SUM(O36-O38)/O35</f>
        <v>0.93350314350846086</v>
      </c>
      <c r="P34" s="27">
        <v>0.98</v>
      </c>
      <c r="Q34" s="27" t="s">
        <v>90</v>
      </c>
    </row>
    <row r="35" spans="1:18">
      <c r="A35" s="33" t="s">
        <v>199</v>
      </c>
      <c r="B35" s="262">
        <v>0</v>
      </c>
      <c r="C35" s="262">
        <v>0</v>
      </c>
      <c r="D35" s="262">
        <v>0</v>
      </c>
      <c r="E35" s="262">
        <v>0</v>
      </c>
      <c r="F35" s="262">
        <v>0</v>
      </c>
      <c r="G35" s="262">
        <v>298306</v>
      </c>
      <c r="H35" s="262">
        <v>283177</v>
      </c>
      <c r="I35" s="262">
        <v>177327</v>
      </c>
      <c r="J35" s="262">
        <v>402094</v>
      </c>
      <c r="K35" s="262">
        <v>263786</v>
      </c>
      <c r="L35" s="262">
        <v>439169</v>
      </c>
      <c r="M35" s="262">
        <v>507029</v>
      </c>
      <c r="N35" s="262">
        <v>615584</v>
      </c>
      <c r="O35" s="263">
        <f>SUM(B35:N35)</f>
        <v>2986472</v>
      </c>
      <c r="P35" s="40"/>
      <c r="Q35" s="40"/>
    </row>
    <row r="36" spans="1:18">
      <c r="A36" s="33" t="s">
        <v>202</v>
      </c>
      <c r="B36" s="262">
        <v>0</v>
      </c>
      <c r="C36" s="262">
        <v>0</v>
      </c>
      <c r="D36" s="262">
        <v>0</v>
      </c>
      <c r="E36" s="262">
        <v>0</v>
      </c>
      <c r="F36" s="262">
        <v>0</v>
      </c>
      <c r="G36" s="262">
        <v>291029</v>
      </c>
      <c r="H36" s="262">
        <v>274930</v>
      </c>
      <c r="I36" s="262">
        <v>160810</v>
      </c>
      <c r="J36" s="262">
        <v>394991</v>
      </c>
      <c r="K36" s="262">
        <v>258891</v>
      </c>
      <c r="L36" s="262">
        <v>435610</v>
      </c>
      <c r="M36" s="262">
        <v>500463</v>
      </c>
      <c r="N36" s="262">
        <v>612034</v>
      </c>
      <c r="O36" s="263">
        <f>SUM(B36:N36)</f>
        <v>2928758</v>
      </c>
      <c r="P36" s="33"/>
    </row>
    <row r="37" spans="1:18">
      <c r="A37" s="33" t="s">
        <v>200</v>
      </c>
      <c r="B37" s="265">
        <f t="shared" ref="B37:L37" si="13">B35-B36</f>
        <v>0</v>
      </c>
      <c r="C37" s="265">
        <f t="shared" si="13"/>
        <v>0</v>
      </c>
      <c r="D37" s="265">
        <f t="shared" si="13"/>
        <v>0</v>
      </c>
      <c r="E37" s="265">
        <f t="shared" si="13"/>
        <v>0</v>
      </c>
      <c r="F37" s="265">
        <f t="shared" si="13"/>
        <v>0</v>
      </c>
      <c r="G37" s="265">
        <v>0</v>
      </c>
      <c r="H37" s="265">
        <f t="shared" si="13"/>
        <v>8247</v>
      </c>
      <c r="I37" s="265">
        <f t="shared" si="13"/>
        <v>16517</v>
      </c>
      <c r="J37" s="265">
        <f t="shared" si="13"/>
        <v>7103</v>
      </c>
      <c r="K37" s="265">
        <f t="shared" si="13"/>
        <v>4895</v>
      </c>
      <c r="L37" s="265">
        <f t="shared" si="13"/>
        <v>3559</v>
      </c>
      <c r="M37" s="265">
        <f>M35-M36</f>
        <v>6566</v>
      </c>
      <c r="N37" s="265">
        <f>N35-N36</f>
        <v>3550</v>
      </c>
      <c r="O37" s="265">
        <f>O35-O36</f>
        <v>57714</v>
      </c>
      <c r="P37" s="33"/>
    </row>
    <row r="38" spans="1:18">
      <c r="A38" s="33" t="s">
        <v>201</v>
      </c>
      <c r="B38" s="262">
        <v>0</v>
      </c>
      <c r="C38" s="262">
        <v>0</v>
      </c>
      <c r="D38" s="262">
        <v>0</v>
      </c>
      <c r="E38" s="262">
        <v>0</v>
      </c>
      <c r="F38" s="262">
        <v>0</v>
      </c>
      <c r="G38" s="262">
        <v>107382</v>
      </c>
      <c r="H38" s="262">
        <v>0</v>
      </c>
      <c r="I38" s="262">
        <v>0</v>
      </c>
      <c r="J38" s="262">
        <v>0</v>
      </c>
      <c r="K38" s="262">
        <v>0</v>
      </c>
      <c r="L38" s="262">
        <v>28647</v>
      </c>
      <c r="M38" s="262">
        <v>0</v>
      </c>
      <c r="N38" s="262">
        <v>4848</v>
      </c>
      <c r="O38" s="263">
        <f>SUM(B38:N38)</f>
        <v>140877</v>
      </c>
      <c r="P38" s="33"/>
    </row>
    <row r="40" spans="1:18" ht="18">
      <c r="A40" s="182" t="s">
        <v>74</v>
      </c>
      <c r="B40" s="183"/>
      <c r="C40" s="183"/>
    </row>
    <row r="42" spans="1:18">
      <c r="A42" s="31" t="s">
        <v>34</v>
      </c>
      <c r="B42" s="48">
        <f>B32</f>
        <v>27</v>
      </c>
      <c r="C42" s="48">
        <f>B42+1</f>
        <v>28</v>
      </c>
      <c r="D42" s="48">
        <f t="shared" ref="D42:L42" si="14">C42+1</f>
        <v>29</v>
      </c>
      <c r="E42" s="48">
        <f t="shared" si="14"/>
        <v>30</v>
      </c>
      <c r="F42" s="48">
        <f t="shared" si="14"/>
        <v>31</v>
      </c>
      <c r="G42" s="48">
        <f t="shared" si="14"/>
        <v>32</v>
      </c>
      <c r="H42" s="48">
        <f t="shared" si="14"/>
        <v>33</v>
      </c>
      <c r="I42" s="48">
        <f t="shared" si="14"/>
        <v>34</v>
      </c>
      <c r="J42" s="48">
        <f t="shared" si="14"/>
        <v>35</v>
      </c>
      <c r="K42" s="48">
        <f t="shared" si="14"/>
        <v>36</v>
      </c>
      <c r="L42" s="48">
        <f t="shared" si="14"/>
        <v>37</v>
      </c>
      <c r="M42" s="48">
        <f>L42+1</f>
        <v>38</v>
      </c>
      <c r="N42" s="48">
        <f>M42+1</f>
        <v>39</v>
      </c>
      <c r="O42" s="44" t="str">
        <f>O32</f>
        <v>Q3 Cum</v>
      </c>
      <c r="P42" s="41" t="s">
        <v>12</v>
      </c>
      <c r="Q42" s="52" t="str">
        <f>Q32</f>
        <v>CQ4 Goal</v>
      </c>
    </row>
    <row r="43" spans="1:18">
      <c r="A43" s="33" t="s">
        <v>22</v>
      </c>
      <c r="B43" s="49">
        <f>B33</f>
        <v>40914</v>
      </c>
      <c r="C43" s="49">
        <f t="shared" ref="C43:L43" si="15">+B43+7</f>
        <v>40921</v>
      </c>
      <c r="D43" s="49">
        <f t="shared" si="15"/>
        <v>40928</v>
      </c>
      <c r="E43" s="49">
        <f t="shared" si="15"/>
        <v>40935</v>
      </c>
      <c r="F43" s="49">
        <f t="shared" si="15"/>
        <v>40942</v>
      </c>
      <c r="G43" s="49">
        <f t="shared" si="15"/>
        <v>40949</v>
      </c>
      <c r="H43" s="49">
        <f t="shared" si="15"/>
        <v>40956</v>
      </c>
      <c r="I43" s="49">
        <f t="shared" si="15"/>
        <v>40963</v>
      </c>
      <c r="J43" s="49">
        <f t="shared" si="15"/>
        <v>40970</v>
      </c>
      <c r="K43" s="49">
        <f t="shared" si="15"/>
        <v>40977</v>
      </c>
      <c r="L43" s="49">
        <f t="shared" si="15"/>
        <v>40984</v>
      </c>
      <c r="M43" s="49">
        <f>+L43+7</f>
        <v>40991</v>
      </c>
      <c r="N43" s="49">
        <f>+M43+7</f>
        <v>40998</v>
      </c>
      <c r="O43" s="45"/>
      <c r="P43" s="42"/>
      <c r="Q43" s="53"/>
    </row>
    <row r="44" spans="1:18">
      <c r="A44" s="33" t="s">
        <v>13</v>
      </c>
      <c r="B44" s="27">
        <f>IF(SUM(B6,B15,B25,B35)=0,"",SUM(B45-B46)/B45)</f>
        <v>0.98000051308927383</v>
      </c>
      <c r="C44" s="27">
        <f>IF(SUM(C6,C15,C25,C35)=0,"",SUM(C45-C46)/C45)</f>
        <v>0.97975643367416587</v>
      </c>
      <c r="D44" s="27">
        <f>IF(SUM(D6,D15,D25,D35)=0,"",SUM(D45-D46)/D45)</f>
        <v>0.95949688316489323</v>
      </c>
      <c r="E44" s="27">
        <f>IF(SUM(E6,E15,E25,E35)=0,"",SUM(E45-E46)/E45)</f>
        <v>0.98427960983128016</v>
      </c>
      <c r="F44" s="27">
        <f>IF(SUM(F6,F15,F25,F35)=0,"",SUM(F45-F46)/F45)</f>
        <v>0.98355414014654297</v>
      </c>
      <c r="G44" s="27">
        <f t="shared" ref="G44:L44" si="16">IF(SUM(G6,G15,G25,G35)=0,"",SUM(G45-G46)/G45)</f>
        <v>0.89740816746414009</v>
      </c>
      <c r="H44" s="27">
        <f t="shared" si="16"/>
        <v>0.98030986274730758</v>
      </c>
      <c r="I44" s="27">
        <f t="shared" si="16"/>
        <v>0.92925476001843421</v>
      </c>
      <c r="J44" s="27">
        <f>IF(SUM(J6,J15,J25,J35)=0,"",SUM(J45-J46)/J45)</f>
        <v>0.9447320724794982</v>
      </c>
      <c r="K44" s="27">
        <f t="shared" si="16"/>
        <v>0.94804905267113437</v>
      </c>
      <c r="L44" s="27">
        <f t="shared" si="16"/>
        <v>0.92684222381143921</v>
      </c>
      <c r="M44" s="27">
        <f>IF(SUM(M6,M15,M25,M35)=0,"",SUM(M45-M46)/M45)</f>
        <v>0.9557906708874826</v>
      </c>
      <c r="N44" s="27">
        <f>IF(SUM(N6,N15,N25,N35)=0,"",SUM(N45-N46)/N45)</f>
        <v>0.96702658464613966</v>
      </c>
      <c r="O44" s="29">
        <f>SUM(O45-O46)/O45</f>
        <v>0.95102029289418566</v>
      </c>
      <c r="P44" s="128">
        <v>0.95679999999999998</v>
      </c>
      <c r="Q44" s="29" t="s">
        <v>90</v>
      </c>
      <c r="R44" s="30" t="s">
        <v>81</v>
      </c>
    </row>
    <row r="45" spans="1:18">
      <c r="A45" s="33" t="s">
        <v>14</v>
      </c>
      <c r="B45" s="265">
        <f>IF(SUM(B6,B15,B25,B35)=0,"",SUM(B6,B15,B25,B35))</f>
        <v>818571</v>
      </c>
      <c r="C45" s="265">
        <f>IF(SUM(C6,C15,C25,C35)=0,"",SUM(C6,C15,C25,C35))</f>
        <v>615356</v>
      </c>
      <c r="D45" s="265">
        <f>IF(SUM(D6,D15,D25,D35)=0,"",SUM(D6,D15,D25,D35))</f>
        <v>1238917</v>
      </c>
      <c r="E45" s="265">
        <f>IF(SUM(E6,E15,E25,E35)=0,"",SUM(E6,E15,E25,E35))</f>
        <v>1383299</v>
      </c>
      <c r="F45" s="265">
        <f>IF(SUM(F6,F15,F25,F35)=0,"",SUM(F6,F15,F25,F35))</f>
        <v>1330122</v>
      </c>
      <c r="G45" s="265">
        <f t="shared" ref="G45:L45" si="17">IF(SUM(G6,G15,G25,G35)=0,"",SUM(G6,G15,G25,G35))</f>
        <v>1706013</v>
      </c>
      <c r="H45" s="265">
        <f t="shared" si="17"/>
        <v>1482011</v>
      </c>
      <c r="I45" s="265">
        <f t="shared" si="17"/>
        <v>2317428</v>
      </c>
      <c r="J45" s="265">
        <f>IF(SUM(J6,J15,J25,J35)=0,"",SUM(J6,J15,J25,J35))</f>
        <v>3614429</v>
      </c>
      <c r="K45" s="265">
        <f>IF(SUM(K6,K15,K25,K35)=0,"",SUM(K6,K15,K25,K35))</f>
        <v>3251933</v>
      </c>
      <c r="L45" s="265">
        <f t="shared" si="17"/>
        <v>4870323</v>
      </c>
      <c r="M45" s="265">
        <f>IF(SUM(M6,M15,M25,M35)=0,"",SUM(M6,M15,M25,M35))</f>
        <v>4760217</v>
      </c>
      <c r="N45" s="265">
        <f>IF(SUM(N6,N15,N25,N35)=0,"",SUM(N6,N15,N25,N35))</f>
        <v>5294447</v>
      </c>
      <c r="O45" s="263">
        <f>SUM(B45:N45)</f>
        <v>32683066</v>
      </c>
      <c r="P45" s="90"/>
      <c r="Q45" s="40"/>
      <c r="R45" s="30" t="s">
        <v>80</v>
      </c>
    </row>
    <row r="46" spans="1:18">
      <c r="A46" s="33" t="s">
        <v>203</v>
      </c>
      <c r="B46" s="265">
        <f>SUM(B7:B8,B17:B18,B27:B28,B37:B38)</f>
        <v>16371</v>
      </c>
      <c r="C46" s="265">
        <f>SUM(C7:C8,C17:C18,C27:C28,C37:C38)</f>
        <v>12457</v>
      </c>
      <c r="D46" s="265">
        <f t="shared" ref="D46:N46" si="18">SUM(D7:D8,D17:D18,D27:D28,D37:D38)</f>
        <v>50180</v>
      </c>
      <c r="E46" s="265">
        <f t="shared" si="18"/>
        <v>21746</v>
      </c>
      <c r="F46" s="265">
        <f t="shared" si="18"/>
        <v>21875</v>
      </c>
      <c r="G46" s="265">
        <f t="shared" si="18"/>
        <v>175023</v>
      </c>
      <c r="H46" s="265">
        <f t="shared" si="18"/>
        <v>29181</v>
      </c>
      <c r="I46" s="265">
        <f t="shared" si="18"/>
        <v>163947</v>
      </c>
      <c r="J46" s="265">
        <f t="shared" si="18"/>
        <v>199762</v>
      </c>
      <c r="K46" s="265">
        <f t="shared" si="18"/>
        <v>168941</v>
      </c>
      <c r="L46" s="265">
        <f t="shared" si="18"/>
        <v>356302</v>
      </c>
      <c r="M46" s="265">
        <f t="shared" si="18"/>
        <v>210446</v>
      </c>
      <c r="N46" s="265">
        <f t="shared" si="18"/>
        <v>174576</v>
      </c>
      <c r="O46" s="263">
        <f>SUM(B46:N46)</f>
        <v>1600807</v>
      </c>
      <c r="P46" s="33"/>
    </row>
    <row r="53" spans="1:21" ht="11.25" customHeight="1"/>
    <row r="54" spans="1:21">
      <c r="A54" s="32" t="s">
        <v>85</v>
      </c>
    </row>
    <row r="55" spans="1:21" ht="85.5">
      <c r="A55" s="69" t="s">
        <v>38</v>
      </c>
      <c r="B55" s="69" t="s">
        <v>22</v>
      </c>
      <c r="C55" s="38" t="s">
        <v>39</v>
      </c>
      <c r="D55" s="38" t="s">
        <v>40</v>
      </c>
      <c r="E55" s="38" t="s">
        <v>41</v>
      </c>
      <c r="F55" s="38" t="s">
        <v>42</v>
      </c>
      <c r="G55" s="38" t="s">
        <v>43</v>
      </c>
      <c r="H55" s="38" t="s">
        <v>44</v>
      </c>
      <c r="I55" s="38" t="s">
        <v>45</v>
      </c>
      <c r="J55" s="38" t="s">
        <v>46</v>
      </c>
      <c r="K55" s="38" t="s">
        <v>47</v>
      </c>
      <c r="L55" s="38" t="s">
        <v>32</v>
      </c>
      <c r="M55" s="38" t="s">
        <v>48</v>
      </c>
      <c r="N55" s="38" t="s">
        <v>113</v>
      </c>
      <c r="O55" s="38" t="s">
        <v>114</v>
      </c>
      <c r="P55" s="38" t="s">
        <v>49</v>
      </c>
      <c r="Q55" s="38" t="s">
        <v>50</v>
      </c>
      <c r="R55" s="38" t="s">
        <v>51</v>
      </c>
      <c r="S55" s="38" t="s">
        <v>52</v>
      </c>
      <c r="T55" s="38" t="s">
        <v>53</v>
      </c>
      <c r="U55" s="38" t="s">
        <v>54</v>
      </c>
    </row>
    <row r="56" spans="1:21">
      <c r="A56" s="48">
        <f>B3</f>
        <v>27</v>
      </c>
      <c r="B56" s="49">
        <f>B4</f>
        <v>40914</v>
      </c>
      <c r="C56" s="68">
        <v>3.5969110717813798E-3</v>
      </c>
      <c r="D56" s="29">
        <v>1.0138844186629065E-3</v>
      </c>
      <c r="E56" s="29">
        <v>5.206564083962118E-3</v>
      </c>
      <c r="F56" s="29">
        <v>3.3891539639981831E-3</v>
      </c>
      <c r="G56" s="29">
        <v>6.3219112761935632E-4</v>
      </c>
      <c r="H56" s="29">
        <v>0</v>
      </c>
      <c r="I56" s="29">
        <v>7.0615117135612988E-6</v>
      </c>
      <c r="J56" s="29">
        <v>5.2838690543000515E-3</v>
      </c>
      <c r="K56" s="29">
        <v>2.4161519815716842E-3</v>
      </c>
      <c r="L56" s="29">
        <v>9.896522837300541E-3</v>
      </c>
      <c r="M56" s="29">
        <v>2.0790577118769424E-3</v>
      </c>
      <c r="N56" s="29">
        <v>2.3786144719364373E-5</v>
      </c>
      <c r="O56" s="29">
        <v>2.1556193651923965E-4</v>
      </c>
      <c r="P56" s="29">
        <v>3.7656440358843726E-3</v>
      </c>
      <c r="Q56" s="29">
        <v>9.6631212922417775E-6</v>
      </c>
      <c r="R56" s="29">
        <v>1.114975533720205E-6</v>
      </c>
      <c r="S56" s="29">
        <v>0</v>
      </c>
      <c r="T56" s="29">
        <v>2.7242568873897012E-4</v>
      </c>
      <c r="U56" s="29">
        <v>5.7049581475350497E-4</v>
      </c>
    </row>
    <row r="57" spans="1:21">
      <c r="A57" s="48">
        <f>C3</f>
        <v>28</v>
      </c>
      <c r="B57" s="49">
        <f>C4</f>
        <v>40921</v>
      </c>
      <c r="C57" s="68">
        <v>4.8861213126406827E-3</v>
      </c>
      <c r="D57" s="29">
        <v>9.2751648698811355E-4</v>
      </c>
      <c r="E57" s="29">
        <v>5.0117482130869169E-3</v>
      </c>
      <c r="F57" s="29">
        <v>3.3277554002290408E-3</v>
      </c>
      <c r="G57" s="29">
        <v>4.5758796351143228E-4</v>
      </c>
      <c r="H57" s="29">
        <v>0</v>
      </c>
      <c r="I57" s="29">
        <v>0</v>
      </c>
      <c r="J57" s="29">
        <v>5.7361390830470323E-3</v>
      </c>
      <c r="K57" s="29">
        <v>3.372428227303242E-3</v>
      </c>
      <c r="L57" s="29">
        <v>8.0433301741499822E-3</v>
      </c>
      <c r="M57" s="29">
        <v>2.6603779173083758E-3</v>
      </c>
      <c r="N57" s="29">
        <v>6.5059432136792641E-4</v>
      </c>
      <c r="O57" s="29">
        <v>2.4607076570706474E-4</v>
      </c>
      <c r="P57" s="29">
        <v>3.4346246495280969E-3</v>
      </c>
      <c r="Q57" s="29">
        <v>2.3200252734668088E-5</v>
      </c>
      <c r="R57" s="29">
        <v>2.9123721517987601E-5</v>
      </c>
      <c r="S57" s="29">
        <v>0</v>
      </c>
      <c r="T57" s="29">
        <v>2.3323658334320577E-4</v>
      </c>
      <c r="U57" s="29">
        <v>8.6507325356395375E-4</v>
      </c>
    </row>
    <row r="58" spans="1:21">
      <c r="A58" s="48">
        <f>D3</f>
        <v>29</v>
      </c>
      <c r="B58" s="49">
        <f>D4</f>
        <v>40928</v>
      </c>
      <c r="C58" s="68">
        <v>3.2119996007384348E-3</v>
      </c>
      <c r="D58" s="29">
        <v>8.4727018169385724E-4</v>
      </c>
      <c r="E58" s="29">
        <v>4.3597107940231469E-3</v>
      </c>
      <c r="F58" s="29">
        <v>3.0992513182429705E-3</v>
      </c>
      <c r="G58" s="29">
        <v>7.5541349271961123E-4</v>
      </c>
      <c r="H58" s="29">
        <v>0</v>
      </c>
      <c r="I58" s="29">
        <v>0</v>
      </c>
      <c r="J58" s="29">
        <v>5.3054699166027487E-3</v>
      </c>
      <c r="K58" s="29">
        <v>3.2030460606579129E-3</v>
      </c>
      <c r="L58" s="29">
        <v>8.8630098419302233E-3</v>
      </c>
      <c r="M58" s="29">
        <v>1.7449454779150985E-3</v>
      </c>
      <c r="N58" s="29">
        <v>8.0581860724699528E-5</v>
      </c>
      <c r="O58" s="29">
        <v>2.3080236652012705E-4</v>
      </c>
      <c r="P58" s="29">
        <v>3.5270315665345852E-3</v>
      </c>
      <c r="Q58" s="29">
        <v>7.9587022937974852E-6</v>
      </c>
      <c r="R58" s="29">
        <v>7.162832064417736E-5</v>
      </c>
      <c r="S58" s="29">
        <v>0</v>
      </c>
      <c r="T58" s="29">
        <v>2.5865782454841823E-4</v>
      </c>
      <c r="U58" s="29">
        <v>6.9970257666302892E-4</v>
      </c>
    </row>
    <row r="59" spans="1:21">
      <c r="A59" s="48">
        <f>E3</f>
        <v>30</v>
      </c>
      <c r="B59" s="49">
        <f>E4</f>
        <v>40935</v>
      </c>
      <c r="C59" s="68">
        <v>3.2929113021676493E-3</v>
      </c>
      <c r="D59" s="29">
        <v>1.1642162948347419E-3</v>
      </c>
      <c r="E59" s="29">
        <v>4.0738374297929758E-3</v>
      </c>
      <c r="F59" s="29">
        <v>3.35470856521101E-3</v>
      </c>
      <c r="G59" s="29">
        <v>4.6311163197375674E-4</v>
      </c>
      <c r="H59" s="29">
        <v>0</v>
      </c>
      <c r="I59" s="29">
        <v>0</v>
      </c>
      <c r="J59" s="29">
        <v>3.5533426249932409E-3</v>
      </c>
      <c r="K59" s="29">
        <v>3.037629751262338E-3</v>
      </c>
      <c r="L59" s="29">
        <v>1.1580365685304059E-2</v>
      </c>
      <c r="M59" s="29">
        <v>2.2839238466442063E-3</v>
      </c>
      <c r="N59" s="29">
        <v>7.4303851992612281E-5</v>
      </c>
      <c r="O59" s="29">
        <v>6.4004308152052167E-5</v>
      </c>
      <c r="P59" s="29">
        <v>3.6629591987249167E-3</v>
      </c>
      <c r="Q59" s="29">
        <v>0</v>
      </c>
      <c r="R59" s="29">
        <v>1.3352622907583298E-4</v>
      </c>
      <c r="S59" s="29">
        <v>0</v>
      </c>
      <c r="T59" s="29">
        <v>1.9458781041629652E-4</v>
      </c>
      <c r="U59" s="29">
        <v>8.4088418641144397E-4</v>
      </c>
    </row>
    <row r="60" spans="1:21">
      <c r="A60" s="48">
        <f>F3</f>
        <v>31</v>
      </c>
      <c r="B60" s="49">
        <f>F4</f>
        <v>40942</v>
      </c>
      <c r="C60" s="68">
        <v>4.3537119363572553E-3</v>
      </c>
      <c r="D60" s="29">
        <v>8.996243774442625E-4</v>
      </c>
      <c r="E60" s="29">
        <v>2.8699192766654408E-3</v>
      </c>
      <c r="F60" s="29">
        <v>2.3920346291406223E-3</v>
      </c>
      <c r="G60" s="29">
        <v>3.7734607413844969E-4</v>
      </c>
      <c r="H60" s="29">
        <v>0</v>
      </c>
      <c r="I60" s="29">
        <v>0</v>
      </c>
      <c r="J60" s="29">
        <v>3.9993461075642613E-3</v>
      </c>
      <c r="K60" s="29">
        <v>2.2899292208443359E-3</v>
      </c>
      <c r="L60" s="29">
        <v>5.9427436741651902E-3</v>
      </c>
      <c r="M60" s="29">
        <v>1.9629830029748974E-3</v>
      </c>
      <c r="N60" s="29">
        <v>7.1552127552896341E-5</v>
      </c>
      <c r="O60" s="29">
        <v>1.0550021726777417E-4</v>
      </c>
      <c r="P60" s="29">
        <v>3.0271250459604905E-3</v>
      </c>
      <c r="Q60" s="29">
        <v>0</v>
      </c>
      <c r="R60" s="29">
        <v>1.5224412541364442E-4</v>
      </c>
      <c r="S60" s="29">
        <v>0</v>
      </c>
      <c r="T60" s="29">
        <v>1.068059130260387E-4</v>
      </c>
      <c r="U60" s="29">
        <v>7.4973050439549422E-4</v>
      </c>
    </row>
    <row r="61" spans="1:21">
      <c r="A61" s="48">
        <f>G3</f>
        <v>32</v>
      </c>
      <c r="B61" s="49">
        <f>G4</f>
        <v>40949</v>
      </c>
      <c r="C61" s="68">
        <v>3.3729023582166539E-3</v>
      </c>
      <c r="D61" s="29">
        <v>1.3927531794718636E-3</v>
      </c>
      <c r="E61" s="29">
        <v>2.9404652304999808E-3</v>
      </c>
      <c r="F61" s="29">
        <v>1.9329644704508444E-3</v>
      </c>
      <c r="G61" s="29">
        <v>4.0267859009946859E-4</v>
      </c>
      <c r="H61" s="29">
        <v>0</v>
      </c>
      <c r="I61" s="29">
        <v>0</v>
      </c>
      <c r="J61" s="29">
        <v>5.7554620321274242E-3</v>
      </c>
      <c r="K61" s="29">
        <v>1.7613837130183146E-3</v>
      </c>
      <c r="L61" s="29">
        <v>8.6339973329916022E-3</v>
      </c>
      <c r="M61" s="29">
        <v>1.65950763829275E-3</v>
      </c>
      <c r="N61" s="29">
        <v>1.1528082139998102E-5</v>
      </c>
      <c r="O61" s="29">
        <v>1.0616559366137787E-4</v>
      </c>
      <c r="P61" s="29">
        <v>2.4997171598451699E-3</v>
      </c>
      <c r="Q61" s="29">
        <v>4.8257088027899029E-6</v>
      </c>
      <c r="R61" s="29">
        <v>1.6997218783159992E-4</v>
      </c>
      <c r="S61" s="29">
        <v>0</v>
      </c>
      <c r="T61" s="29">
        <v>5.013375256231733E-5</v>
      </c>
      <c r="U61" s="29">
        <v>6.6996923878733156E-4</v>
      </c>
    </row>
    <row r="62" spans="1:21">
      <c r="A62" s="48">
        <f>H3</f>
        <v>33</v>
      </c>
      <c r="B62" s="49">
        <f>H4</f>
        <v>40956</v>
      </c>
      <c r="C62" s="68">
        <v>3.4161811156636795E-3</v>
      </c>
      <c r="D62" s="29">
        <v>3.8755830147053734E-3</v>
      </c>
      <c r="E62" s="29">
        <v>4.9315755920703681E-3</v>
      </c>
      <c r="F62" s="29">
        <v>2.2284151055676684E-3</v>
      </c>
      <c r="G62" s="29">
        <v>5.923787421172862E-4</v>
      </c>
      <c r="H62" s="29">
        <v>0</v>
      </c>
      <c r="I62" s="29">
        <v>0</v>
      </c>
      <c r="J62" s="29">
        <v>6.0853452599321217E-3</v>
      </c>
      <c r="K62" s="29">
        <v>1.7786404892825779E-3</v>
      </c>
      <c r="L62" s="29">
        <v>1.899041694257356E-2</v>
      </c>
      <c r="M62" s="29">
        <v>1.690791534128567E-3</v>
      </c>
      <c r="N62" s="29">
        <v>1.0529840515035559E-5</v>
      </c>
      <c r="O62" s="29">
        <v>2.2353347150489772E-4</v>
      </c>
      <c r="P62" s="29">
        <v>2.4029096055311148E-3</v>
      </c>
      <c r="Q62" s="29">
        <v>0</v>
      </c>
      <c r="R62" s="29">
        <v>7.0399505157666309E-5</v>
      </c>
      <c r="S62" s="29">
        <v>0</v>
      </c>
      <c r="T62" s="29">
        <v>6.1373927573350116E-5</v>
      </c>
      <c r="U62" s="29">
        <v>8.3877701016911823E-4</v>
      </c>
    </row>
    <row r="63" spans="1:21">
      <c r="A63" s="48">
        <f>I3</f>
        <v>34</v>
      </c>
      <c r="B63" s="49">
        <f>I4</f>
        <v>40963</v>
      </c>
      <c r="C63" s="68">
        <v>4.0538567145556375E-3</v>
      </c>
      <c r="D63" s="29">
        <v>3.8949111593687478E-3</v>
      </c>
      <c r="E63" s="29">
        <v>5.0686247434519396E-3</v>
      </c>
      <c r="F63" s="29">
        <v>1.73399666611698E-3</v>
      </c>
      <c r="G63" s="29">
        <v>3.6482971963990886E-4</v>
      </c>
      <c r="H63" s="29">
        <v>0</v>
      </c>
      <c r="I63" s="29">
        <v>6.7055156094469291E-6</v>
      </c>
      <c r="J63" s="29">
        <v>5.8491964308775585E-3</v>
      </c>
      <c r="K63" s="29">
        <v>1.8497288984874343E-3</v>
      </c>
      <c r="L63" s="29">
        <v>1.3013170626066673E-2</v>
      </c>
      <c r="M63" s="29">
        <v>1.4940882187567677E-3</v>
      </c>
      <c r="N63" s="29">
        <v>5.4637534595493499E-6</v>
      </c>
      <c r="O63" s="29">
        <v>1.2616303442959407E-4</v>
      </c>
      <c r="P63" s="29">
        <v>2.4591857616571662E-3</v>
      </c>
      <c r="Q63" s="29">
        <v>0</v>
      </c>
      <c r="R63" s="29">
        <v>7.7783981069584379E-4</v>
      </c>
      <c r="S63" s="29">
        <v>0</v>
      </c>
      <c r="T63" s="29">
        <v>3.4769340197132223E-5</v>
      </c>
      <c r="U63" s="29">
        <v>9.1766222877431121E-4</v>
      </c>
    </row>
    <row r="64" spans="1:21">
      <c r="A64" s="48">
        <f>J3</f>
        <v>35</v>
      </c>
      <c r="B64" s="49">
        <f>J4</f>
        <v>40970</v>
      </c>
      <c r="C64" s="68">
        <v>4.0789372444931795E-3</v>
      </c>
      <c r="D64" s="29">
        <v>4.7390575693202772E-3</v>
      </c>
      <c r="E64" s="29">
        <v>3.8896399070379372E-3</v>
      </c>
      <c r="F64" s="29">
        <v>1.6106834016043649E-3</v>
      </c>
      <c r="G64" s="29">
        <v>3.7069667025219094E-4</v>
      </c>
      <c r="H64" s="29">
        <v>0</v>
      </c>
      <c r="I64" s="29">
        <v>0</v>
      </c>
      <c r="J64" s="29">
        <v>4.0514216153610585E-3</v>
      </c>
      <c r="K64" s="29">
        <v>1.6231673444513459E-3</v>
      </c>
      <c r="L64" s="29">
        <v>1.2674768830499139E-2</v>
      </c>
      <c r="M64" s="29">
        <v>3.5133382012217957E-3</v>
      </c>
      <c r="N64" s="29">
        <v>3.3120664696072043E-6</v>
      </c>
      <c r="O64" s="29">
        <v>1.044574809645349E-4</v>
      </c>
      <c r="P64" s="29">
        <v>2.0654556053158156E-3</v>
      </c>
      <c r="Q64" s="29">
        <v>3.3120664696072043E-6</v>
      </c>
      <c r="R64" s="29">
        <v>6.140061685964125E-5</v>
      </c>
      <c r="S64" s="29">
        <v>0</v>
      </c>
      <c r="T64" s="29">
        <v>3.2356341664624225E-5</v>
      </c>
      <c r="U64" s="29">
        <v>8.57315666940634E-4</v>
      </c>
    </row>
    <row r="65" spans="1:21">
      <c r="A65" s="48">
        <f>K3</f>
        <v>36</v>
      </c>
      <c r="B65" s="49">
        <f>K4</f>
        <v>40977</v>
      </c>
      <c r="C65" s="68">
        <v>3.2329464339917869E-3</v>
      </c>
      <c r="D65" s="29">
        <v>2.8593963273611011E-3</v>
      </c>
      <c r="E65" s="29">
        <v>3.1604884840817716E-3</v>
      </c>
      <c r="F65" s="29">
        <v>1.3314148295965266E-3</v>
      </c>
      <c r="G65" s="29">
        <v>3.5665957100977007E-4</v>
      </c>
      <c r="H65" s="29">
        <v>0</v>
      </c>
      <c r="I65" s="29">
        <v>0</v>
      </c>
      <c r="J65" s="29">
        <v>4.0461400475089154E-3</v>
      </c>
      <c r="K65" s="29">
        <v>1.3825760172019089E-3</v>
      </c>
      <c r="L65" s="29">
        <v>5.6169598602540732E-3</v>
      </c>
      <c r="M65" s="29">
        <v>5.0404785358010816E-3</v>
      </c>
      <c r="N65" s="29">
        <v>2.6926940844938031E-6</v>
      </c>
      <c r="O65" s="29">
        <v>1.4956691687506487E-4</v>
      </c>
      <c r="P65" s="29">
        <v>1.3830655979445443E-3</v>
      </c>
      <c r="Q65" s="29">
        <v>7.0989207682109348E-6</v>
      </c>
      <c r="R65" s="29">
        <v>1.8016571328976718E-4</v>
      </c>
      <c r="S65" s="29">
        <v>0</v>
      </c>
      <c r="T65" s="29">
        <v>2.1051971933315188E-5</v>
      </c>
      <c r="U65" s="29">
        <v>7.018139945676121E-4</v>
      </c>
    </row>
    <row r="66" spans="1:21">
      <c r="A66" s="48">
        <f>L3</f>
        <v>37</v>
      </c>
      <c r="B66" s="49">
        <f>L4</f>
        <v>40984</v>
      </c>
      <c r="C66" s="68">
        <v>2.1732608791646011E-3</v>
      </c>
      <c r="D66" s="29">
        <v>1.1810903542087468E-3</v>
      </c>
      <c r="E66" s="29">
        <v>2.1425329551294919E-3</v>
      </c>
      <c r="F66" s="29">
        <v>1.1071157222723733E-3</v>
      </c>
      <c r="G66" s="29">
        <v>2.5811456189491595E-4</v>
      </c>
      <c r="H66" s="29">
        <v>0</v>
      </c>
      <c r="I66" s="29">
        <v>0</v>
      </c>
      <c r="J66" s="29">
        <v>2.538354139552119E-3</v>
      </c>
      <c r="K66" s="29">
        <v>1.5241050321414084E-3</v>
      </c>
      <c r="L66" s="29">
        <v>5.9361796950788432E-3</v>
      </c>
      <c r="M66" s="29">
        <v>2.6510231943475187E-3</v>
      </c>
      <c r="N66" s="29">
        <v>7.0560418154694837E-6</v>
      </c>
      <c r="O66" s="29">
        <v>1.1107575503061639E-4</v>
      </c>
      <c r="P66" s="29">
        <v>1.4601454272979593E-3</v>
      </c>
      <c r="Q66" s="29">
        <v>0</v>
      </c>
      <c r="R66" s="29">
        <v>1.9347211429513101E-5</v>
      </c>
      <c r="S66" s="29">
        <v>0</v>
      </c>
      <c r="T66" s="29">
        <v>3.1638381043556718E-5</v>
      </c>
      <c r="U66" s="29">
        <v>5.6539380224600636E-4</v>
      </c>
    </row>
    <row r="67" spans="1:21">
      <c r="A67" s="48">
        <f>M3</f>
        <v>38</v>
      </c>
      <c r="B67" s="49">
        <f>M4</f>
        <v>40991</v>
      </c>
      <c r="C67" s="68">
        <v>3.4971136144739891E-3</v>
      </c>
      <c r="D67" s="29">
        <v>4.6225601355717296E-3</v>
      </c>
      <c r="E67" s="29">
        <v>3.3778635260841472E-3</v>
      </c>
      <c r="F67" s="29">
        <v>1.7110292235104788E-3</v>
      </c>
      <c r="G67" s="29">
        <v>3.9203942796532681E-4</v>
      </c>
      <c r="H67" s="29">
        <v>0</v>
      </c>
      <c r="I67" s="29">
        <v>0</v>
      </c>
      <c r="J67" s="29">
        <v>4.0084031308291581E-3</v>
      </c>
      <c r="K67" s="29">
        <v>1.3849011862526364E-3</v>
      </c>
      <c r="L67" s="29">
        <v>2.5119097692110751E-2</v>
      </c>
      <c r="M67" s="29">
        <v>2.7488478841300613E-3</v>
      </c>
      <c r="N67" s="29">
        <v>5.7148604659668629E-6</v>
      </c>
      <c r="O67" s="29">
        <v>1.1048730234202602E-4</v>
      </c>
      <c r="P67" s="29">
        <v>2.3076606561574192E-3</v>
      </c>
      <c r="Q67" s="29">
        <v>0</v>
      </c>
      <c r="R67" s="29">
        <v>4.1146995354961412E-5</v>
      </c>
      <c r="S67" s="29">
        <v>0</v>
      </c>
      <c r="T67" s="29">
        <v>7.2007241871182469E-5</v>
      </c>
      <c r="U67" s="29">
        <v>6.4730319544518001E-4</v>
      </c>
    </row>
    <row r="68" spans="1:21">
      <c r="A68" s="48">
        <f>N3</f>
        <v>39</v>
      </c>
      <c r="B68" s="49">
        <f>N4</f>
        <v>40998</v>
      </c>
      <c r="C68" s="68">
        <v>3.5598995398340482E-3</v>
      </c>
      <c r="D68" s="29">
        <v>2.652174922780371E-3</v>
      </c>
      <c r="E68" s="29">
        <v>3.8374810199515836E-3</v>
      </c>
      <c r="F68" s="29">
        <v>1.6062125168235389E-3</v>
      </c>
      <c r="G68" s="29">
        <v>7.2878962309743333E-4</v>
      </c>
      <c r="H68" s="29">
        <v>0</v>
      </c>
      <c r="I68" s="29">
        <v>0</v>
      </c>
      <c r="J68" s="29">
        <v>2.947229659415265E-3</v>
      </c>
      <c r="K68" s="29">
        <v>1.0287103299017185E-3</v>
      </c>
      <c r="L68" s="29">
        <v>1.9165729414457905E-2</v>
      </c>
      <c r="M68" s="29">
        <v>1.7141485823991224E-3</v>
      </c>
      <c r="N68" s="29">
        <v>6.635413867351441E-7</v>
      </c>
      <c r="O68" s="29">
        <v>1.2032217146130614E-4</v>
      </c>
      <c r="P68" s="29">
        <v>2.1032050154881619E-3</v>
      </c>
      <c r="Q68" s="29">
        <v>0</v>
      </c>
      <c r="R68" s="29">
        <v>8.1836771030667773E-6</v>
      </c>
      <c r="S68" s="29">
        <v>0</v>
      </c>
      <c r="T68" s="29">
        <v>3.2955888874512161E-5</v>
      </c>
      <c r="U68" s="29">
        <v>8.3849513237097711E-4</v>
      </c>
    </row>
    <row r="69" spans="1:21">
      <c r="A69" s="48"/>
      <c r="B69" s="49"/>
      <c r="C69" s="68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33"/>
      <c r="U69" s="33"/>
    </row>
    <row r="70" spans="1:21">
      <c r="A70" s="278"/>
      <c r="B70" s="278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</row>
    <row r="71" spans="1:21">
      <c r="A71" s="32" t="s">
        <v>86</v>
      </c>
    </row>
    <row r="72" spans="1:21" ht="67.5">
      <c r="A72" s="37" t="s">
        <v>38</v>
      </c>
      <c r="B72" s="93" t="s">
        <v>22</v>
      </c>
      <c r="C72" s="97" t="s">
        <v>39</v>
      </c>
      <c r="D72" s="97" t="s">
        <v>211</v>
      </c>
      <c r="E72" s="97" t="s">
        <v>70</v>
      </c>
      <c r="F72" s="97" t="s">
        <v>102</v>
      </c>
      <c r="G72" s="97" t="s">
        <v>43</v>
      </c>
      <c r="H72" s="97" t="s">
        <v>190</v>
      </c>
      <c r="I72" s="97" t="s">
        <v>191</v>
      </c>
      <c r="J72" s="97" t="s">
        <v>192</v>
      </c>
      <c r="K72" s="97" t="s">
        <v>193</v>
      </c>
      <c r="L72" s="97" t="s">
        <v>41</v>
      </c>
      <c r="M72" s="97" t="s">
        <v>103</v>
      </c>
      <c r="N72" s="97" t="s">
        <v>101</v>
      </c>
      <c r="O72" s="97" t="s">
        <v>60</v>
      </c>
      <c r="P72" s="97" t="s">
        <v>104</v>
      </c>
      <c r="Q72" s="97" t="s">
        <v>46</v>
      </c>
      <c r="R72" s="97" t="s">
        <v>194</v>
      </c>
      <c r="S72" s="97" t="s">
        <v>54</v>
      </c>
      <c r="T72" s="95"/>
      <c r="U72" s="95"/>
    </row>
    <row r="73" spans="1:21">
      <c r="A73" s="48">
        <f>A56</f>
        <v>27</v>
      </c>
      <c r="B73" s="49">
        <f>B56</f>
        <v>40914</v>
      </c>
      <c r="C73" s="29">
        <v>7.7840458542478737E-3</v>
      </c>
      <c r="D73" s="29">
        <v>3.2794261266632432E-5</v>
      </c>
      <c r="E73" s="29">
        <v>3.4096193438917736E-3</v>
      </c>
      <c r="F73" s="29">
        <v>6.3092879250874132E-3</v>
      </c>
      <c r="G73" s="29">
        <v>2.0604634353825154E-3</v>
      </c>
      <c r="H73" s="29">
        <v>1.7397355601948504E-3</v>
      </c>
      <c r="I73" s="29">
        <v>3.279426126663243E-7</v>
      </c>
      <c r="J73" s="29">
        <v>2.2624760847849714E-3</v>
      </c>
      <c r="K73" s="29">
        <v>1.7380958471315187E-5</v>
      </c>
      <c r="L73" s="29">
        <v>1.9879881179832577E-3</v>
      </c>
      <c r="M73" s="29">
        <v>5.0667133656947107E-4</v>
      </c>
      <c r="N73" s="29">
        <v>3.8447991908999862E-3</v>
      </c>
      <c r="O73" s="29">
        <v>1.6413527763949531E-3</v>
      </c>
      <c r="P73" s="29">
        <v>2.9393496373282648E-3</v>
      </c>
      <c r="Q73" s="29">
        <v>8.1041178442102062E-3</v>
      </c>
      <c r="R73" s="29">
        <v>2.4267753337307998E-5</v>
      </c>
      <c r="S73" s="29">
        <v>1.9312540459919837E-3</v>
      </c>
      <c r="T73" s="96"/>
      <c r="U73" s="96"/>
    </row>
    <row r="74" spans="1:21">
      <c r="A74" s="48">
        <f t="shared" ref="A74:B85" si="19">A57</f>
        <v>28</v>
      </c>
      <c r="B74" s="49">
        <f t="shared" si="19"/>
        <v>40921</v>
      </c>
      <c r="C74" s="29">
        <v>9.1545834515356708E-3</v>
      </c>
      <c r="D74" s="33">
        <v>0</v>
      </c>
      <c r="E74" s="29">
        <v>4.1953577923652821E-3</v>
      </c>
      <c r="F74" s="29">
        <v>6.1590383186470952E-3</v>
      </c>
      <c r="G74" s="29">
        <v>2.4446343683442867E-3</v>
      </c>
      <c r="H74" s="29">
        <v>3.3671912835732142E-3</v>
      </c>
      <c r="I74" s="29">
        <v>8.7960542238163717E-5</v>
      </c>
      <c r="J74" s="29">
        <v>3.2771731847914681E-3</v>
      </c>
      <c r="K74" s="29">
        <v>1.7129158225326617E-4</v>
      </c>
      <c r="L74" s="29">
        <v>1.9472200739331506E-3</v>
      </c>
      <c r="M74" s="29">
        <v>6.0749356949281485E-4</v>
      </c>
      <c r="N74" s="29">
        <v>2.182038714469535E-3</v>
      </c>
      <c r="O74" s="29">
        <v>1.0737873211822617E-3</v>
      </c>
      <c r="P74" s="29">
        <v>2.5130481234184143E-3</v>
      </c>
      <c r="Q74" s="29">
        <v>7.1176024733887212E-3</v>
      </c>
      <c r="R74" s="29">
        <v>1.0364941088298239E-4</v>
      </c>
      <c r="S74" s="29">
        <v>1.3484711197505625E-3</v>
      </c>
      <c r="T74" s="96"/>
      <c r="U74" s="96"/>
    </row>
    <row r="75" spans="1:21">
      <c r="A75" s="48">
        <f t="shared" si="19"/>
        <v>29</v>
      </c>
      <c r="B75" s="49">
        <f t="shared" si="19"/>
        <v>40928</v>
      </c>
      <c r="C75" s="29">
        <v>9.0218632078924201E-3</v>
      </c>
      <c r="D75" s="29">
        <v>4.4812062690283224E-6</v>
      </c>
      <c r="E75" s="29">
        <v>4.5869627369773906E-3</v>
      </c>
      <c r="F75" s="29">
        <v>7.9164989948654341E-3</v>
      </c>
      <c r="G75" s="29">
        <v>2.7493694195911767E-3</v>
      </c>
      <c r="H75" s="29">
        <v>1.7201857131376719E-3</v>
      </c>
      <c r="I75" s="29">
        <v>0</v>
      </c>
      <c r="J75" s="29">
        <v>2.8004551710580994E-3</v>
      </c>
      <c r="K75" s="29">
        <v>1.8014449201493856E-4</v>
      </c>
      <c r="L75" s="29">
        <v>2.304236263534363E-3</v>
      </c>
      <c r="M75" s="29">
        <v>2.9605836084047114E-4</v>
      </c>
      <c r="N75" s="29">
        <v>2.6731889130176953E-3</v>
      </c>
      <c r="O75" s="29">
        <v>1.1955858325767563E-3</v>
      </c>
      <c r="P75" s="29">
        <v>4.5391632034410883E-3</v>
      </c>
      <c r="Q75" s="29">
        <v>6.1159503159698538E-3</v>
      </c>
      <c r="R75" s="29">
        <v>7.8869230334898473E-4</v>
      </c>
      <c r="S75" s="29">
        <v>1.3052260126256493E-3</v>
      </c>
      <c r="T75" s="96"/>
      <c r="U75" s="96"/>
    </row>
    <row r="76" spans="1:21">
      <c r="A76" s="48">
        <f t="shared" si="19"/>
        <v>30</v>
      </c>
      <c r="B76" s="49">
        <f t="shared" si="19"/>
        <v>40935</v>
      </c>
      <c r="C76" s="29">
        <v>7.222016215239717E-3</v>
      </c>
      <c r="D76" s="29">
        <v>5.7863060140908778E-5</v>
      </c>
      <c r="E76" s="29">
        <v>4.7292864506717413E-3</v>
      </c>
      <c r="F76" s="29">
        <v>7.4646064157365792E-3</v>
      </c>
      <c r="G76" s="29">
        <v>2.6883232072978085E-3</v>
      </c>
      <c r="H76" s="29">
        <v>1.534593552751144E-3</v>
      </c>
      <c r="I76" s="29">
        <v>4.5095154851600266E-5</v>
      </c>
      <c r="J76" s="29">
        <v>2.7412964313704717E-3</v>
      </c>
      <c r="K76" s="29">
        <v>7.7150746854545032E-4</v>
      </c>
      <c r="L76" s="29">
        <v>1.3767605107705431E-3</v>
      </c>
      <c r="M76" s="29">
        <v>5.3000389828597666E-4</v>
      </c>
      <c r="N76" s="29">
        <v>3.9268100203607341E-3</v>
      </c>
      <c r="O76" s="29">
        <v>5.0473974526670656E-4</v>
      </c>
      <c r="P76" s="29">
        <v>3.5866947560583033E-3</v>
      </c>
      <c r="Q76" s="29">
        <v>8.3583597859881748E-3</v>
      </c>
      <c r="R76" s="29">
        <v>2.8442546463629807E-4</v>
      </c>
      <c r="S76" s="29">
        <v>1.3379134797839236E-3</v>
      </c>
      <c r="T76" s="96"/>
      <c r="U76" s="96"/>
    </row>
    <row r="77" spans="1:21">
      <c r="A77" s="48">
        <f t="shared" si="19"/>
        <v>31</v>
      </c>
      <c r="B77" s="49">
        <f t="shared" si="19"/>
        <v>40942</v>
      </c>
      <c r="C77" s="29">
        <v>8.0733930244024331E-3</v>
      </c>
      <c r="D77" s="29">
        <v>5.2377777391773747E-5</v>
      </c>
      <c r="E77" s="29">
        <v>5.1942186692036036E-3</v>
      </c>
      <c r="F77" s="29">
        <v>5.4229705949554322E-3</v>
      </c>
      <c r="G77" s="29">
        <v>1.6787612121179729E-3</v>
      </c>
      <c r="H77" s="29">
        <v>1.4109931868804357E-3</v>
      </c>
      <c r="I77" s="29">
        <v>1.9240816184733215E-5</v>
      </c>
      <c r="J77" s="29">
        <v>2.4596176689483957E-3</v>
      </c>
      <c r="K77" s="29">
        <v>2.5119954463401697E-5</v>
      </c>
      <c r="L77" s="29">
        <v>1.7597329802287252E-3</v>
      </c>
      <c r="M77" s="29">
        <v>2.6215612051699004E-4</v>
      </c>
      <c r="N77" s="29">
        <v>4.7653088084189258E-3</v>
      </c>
      <c r="O77" s="29">
        <v>5.9646530172672966E-4</v>
      </c>
      <c r="P77" s="29">
        <v>2.4401096192055412E-3</v>
      </c>
      <c r="Q77" s="29">
        <v>9.6078481151349055E-3</v>
      </c>
      <c r="R77" s="29">
        <v>3.1774070060621931E-4</v>
      </c>
      <c r="S77" s="29">
        <v>8.7812947198657424E-4</v>
      </c>
      <c r="T77" s="96"/>
      <c r="U77" s="96"/>
    </row>
    <row r="78" spans="1:21">
      <c r="A78" s="48">
        <f t="shared" si="19"/>
        <v>32</v>
      </c>
      <c r="B78" s="49">
        <f t="shared" si="19"/>
        <v>40949</v>
      </c>
      <c r="C78" s="29">
        <v>1.0650803273031096E-2</v>
      </c>
      <c r="D78" s="29">
        <v>4.1151282330717812E-5</v>
      </c>
      <c r="E78" s="29">
        <v>4.7060038869514674E-3</v>
      </c>
      <c r="F78" s="29">
        <v>5.637725679308341E-3</v>
      </c>
      <c r="G78" s="29">
        <v>1.5532480565242663E-3</v>
      </c>
      <c r="H78" s="29">
        <v>1.2629186646323743E-3</v>
      </c>
      <c r="I78" s="29">
        <v>7.9464545190351645E-6</v>
      </c>
      <c r="J78" s="29">
        <v>2.0374141782911943E-3</v>
      </c>
      <c r="K78" s="29">
        <v>0</v>
      </c>
      <c r="L78" s="29">
        <v>2.4233848263586167E-3</v>
      </c>
      <c r="M78" s="29">
        <v>2.7216606727695436E-4</v>
      </c>
      <c r="N78" s="29">
        <v>6.5342560302237718E-3</v>
      </c>
      <c r="O78" s="29">
        <v>7.5548078320255738E-4</v>
      </c>
      <c r="P78" s="29">
        <v>3.4850879104911365E-3</v>
      </c>
      <c r="Q78" s="29">
        <v>1.0086605002179599E-2</v>
      </c>
      <c r="R78" s="29">
        <v>4.881393490264458E-5</v>
      </c>
      <c r="S78" s="29">
        <v>4.7111123219994186E-4</v>
      </c>
      <c r="T78" s="96"/>
      <c r="U78" s="96"/>
    </row>
    <row r="79" spans="1:21">
      <c r="A79" s="48">
        <f t="shared" si="19"/>
        <v>33</v>
      </c>
      <c r="B79" s="49">
        <f t="shared" si="19"/>
        <v>40956</v>
      </c>
      <c r="C79" s="29">
        <v>7.6928969843973296E-3</v>
      </c>
      <c r="D79" s="29">
        <v>1.0628007334943539E-4</v>
      </c>
      <c r="E79" s="29">
        <v>3.9164476775645999E-3</v>
      </c>
      <c r="F79" s="29">
        <v>5.5845592856684292E-3</v>
      </c>
      <c r="G79" s="29">
        <v>2.3233255628393071E-3</v>
      </c>
      <c r="H79" s="29">
        <v>1.3179808080846227E-3</v>
      </c>
      <c r="I79" s="29">
        <v>5.0982065642241853E-5</v>
      </c>
      <c r="J79" s="29">
        <v>2.0832512854763695E-3</v>
      </c>
      <c r="K79" s="29">
        <v>6.0423188909323677E-5</v>
      </c>
      <c r="L79" s="29">
        <v>2.4660213973617725E-3</v>
      </c>
      <c r="M79" s="29">
        <v>3.9733641635461504E-4</v>
      </c>
      <c r="N79" s="29">
        <v>5.5384326548492575E-3</v>
      </c>
      <c r="O79" s="29">
        <v>1.4795588891412517E-3</v>
      </c>
      <c r="P79" s="29">
        <v>4.1837663392125454E-3</v>
      </c>
      <c r="Q79" s="29">
        <v>8.0047237985900899E-3</v>
      </c>
      <c r="R79" s="29">
        <v>0</v>
      </c>
      <c r="S79" s="29">
        <v>9.9293642131794845E-4</v>
      </c>
      <c r="T79" s="96"/>
      <c r="U79" s="96"/>
    </row>
    <row r="80" spans="1:21">
      <c r="A80" s="48">
        <f t="shared" si="19"/>
        <v>34</v>
      </c>
      <c r="B80" s="49">
        <f t="shared" si="19"/>
        <v>40963</v>
      </c>
      <c r="C80" s="29">
        <v>8.5354302488309386E-3</v>
      </c>
      <c r="D80" s="29">
        <v>4.799979520087381E-5</v>
      </c>
      <c r="E80" s="29">
        <v>5.1677112844318532E-3</v>
      </c>
      <c r="F80" s="29">
        <v>6.4122393077789535E-3</v>
      </c>
      <c r="G80" s="29">
        <v>1.8474587841758542E-3</v>
      </c>
      <c r="H80" s="29">
        <v>1.3695941563982661E-3</v>
      </c>
      <c r="I80" s="29">
        <v>2.1279909205720721E-4</v>
      </c>
      <c r="J80" s="29">
        <v>2.0234580332457249E-3</v>
      </c>
      <c r="K80" s="29">
        <v>6.1333071645560975E-5</v>
      </c>
      <c r="L80" s="29">
        <v>1.9066585315902652E-3</v>
      </c>
      <c r="M80" s="29">
        <v>4.2479818752773319E-4</v>
      </c>
      <c r="N80" s="29">
        <v>3.6429177902174282E-3</v>
      </c>
      <c r="O80" s="29">
        <v>4.9893120456019385E-4</v>
      </c>
      <c r="P80" s="29">
        <v>2.5202559135747687E-3</v>
      </c>
      <c r="Q80" s="29">
        <v>1.0146890039935829E-2</v>
      </c>
      <c r="R80" s="29">
        <v>0</v>
      </c>
      <c r="S80" s="29">
        <v>1.7071927159777451E-3</v>
      </c>
      <c r="T80" s="96"/>
      <c r="U80" s="96"/>
    </row>
    <row r="81" spans="1:23">
      <c r="A81" s="48">
        <f t="shared" si="19"/>
        <v>35</v>
      </c>
      <c r="B81" s="49">
        <f t="shared" si="19"/>
        <v>40970</v>
      </c>
      <c r="C81" s="29">
        <v>8.5014578874829452E-3</v>
      </c>
      <c r="D81" s="29">
        <v>0</v>
      </c>
      <c r="E81" s="29">
        <v>5.0486646198171477E-3</v>
      </c>
      <c r="F81" s="29">
        <v>5.7971871535419496E-3</v>
      </c>
      <c r="G81" s="29">
        <v>2.2476986261814537E-3</v>
      </c>
      <c r="H81" s="29">
        <v>1.5916093021372583E-3</v>
      </c>
      <c r="I81" s="29">
        <v>2.8129530093003261E-4</v>
      </c>
      <c r="J81" s="29">
        <v>1.9930411378394921E-3</v>
      </c>
      <c r="K81" s="29">
        <v>1.9445603189292027E-5</v>
      </c>
      <c r="L81" s="29">
        <v>2.3430619952467487E-3</v>
      </c>
      <c r="M81" s="29">
        <v>2.7490222590889548E-4</v>
      </c>
      <c r="N81" s="29">
        <v>2.9650549191782127E-3</v>
      </c>
      <c r="O81" s="29">
        <v>1.2221428415407098E-3</v>
      </c>
      <c r="P81" s="29">
        <v>3.8534259689903894E-3</v>
      </c>
      <c r="Q81" s="29">
        <v>9.0134366454256744E-3</v>
      </c>
      <c r="R81" s="29">
        <v>1.0388746909347794E-5</v>
      </c>
      <c r="S81" s="29">
        <v>1.209889447750197E-3</v>
      </c>
      <c r="T81" s="96"/>
      <c r="U81" s="96"/>
    </row>
    <row r="82" spans="1:23">
      <c r="A82" s="48">
        <f t="shared" si="19"/>
        <v>36</v>
      </c>
      <c r="B82" s="49">
        <f t="shared" si="19"/>
        <v>40977</v>
      </c>
      <c r="C82" s="29">
        <v>1.1897647634052263E-2</v>
      </c>
      <c r="D82" s="29">
        <v>0</v>
      </c>
      <c r="E82" s="29">
        <v>4.0433276424671925E-3</v>
      </c>
      <c r="F82" s="29">
        <v>6.0725047940827321E-3</v>
      </c>
      <c r="G82" s="29">
        <v>1.4162627769962631E-3</v>
      </c>
      <c r="H82" s="29">
        <v>2.2334819431552981E-3</v>
      </c>
      <c r="I82" s="29">
        <v>1.297494362112471E-4</v>
      </c>
      <c r="J82" s="29">
        <v>2.2444629644827532E-3</v>
      </c>
      <c r="K82" s="29">
        <v>8.9582016092397784E-5</v>
      </c>
      <c r="L82" s="29">
        <v>3.2483594932085271E-3</v>
      </c>
      <c r="M82" s="29">
        <v>3.9965138147027784E-4</v>
      </c>
      <c r="N82" s="29">
        <v>3.2125266867715683E-3</v>
      </c>
      <c r="O82" s="29">
        <v>3.1151423660517679E-4</v>
      </c>
      <c r="P82" s="29">
        <v>3.0553246972416831E-3</v>
      </c>
      <c r="Q82" s="29">
        <v>9.1726204993706137E-3</v>
      </c>
      <c r="R82" s="29">
        <v>2.3117939636747814E-6</v>
      </c>
      <c r="S82" s="29">
        <v>3.872254889155259E-4</v>
      </c>
      <c r="T82" s="96"/>
      <c r="U82" s="96"/>
    </row>
    <row r="83" spans="1:23">
      <c r="A83" s="48">
        <f t="shared" si="19"/>
        <v>37</v>
      </c>
      <c r="B83" s="49">
        <f t="shared" si="19"/>
        <v>40984</v>
      </c>
      <c r="C83" s="29">
        <v>9.9997240022756465E-3</v>
      </c>
      <c r="D83" s="29">
        <v>0</v>
      </c>
      <c r="E83" s="29">
        <v>4.2841969341697941E-3</v>
      </c>
      <c r="F83" s="29">
        <v>6.6607450810824932E-3</v>
      </c>
      <c r="G83" s="29">
        <v>1.9082423307503309E-3</v>
      </c>
      <c r="H83" s="29">
        <v>2.0762151393358191E-3</v>
      </c>
      <c r="I83" s="29">
        <v>8.5173491279213836E-5</v>
      </c>
      <c r="J83" s="29">
        <v>1.9408872228782526E-3</v>
      </c>
      <c r="K83" s="29">
        <v>7.7665166089791848E-4</v>
      </c>
      <c r="L83" s="29">
        <v>3.5010162948462915E-3</v>
      </c>
      <c r="M83" s="29">
        <v>4.9827976257073184E-4</v>
      </c>
      <c r="N83" s="29">
        <v>2.8285315170111049E-3</v>
      </c>
      <c r="O83" s="29">
        <v>5.1578929562116254E-4</v>
      </c>
      <c r="P83" s="29">
        <v>3.3778560200000414E-3</v>
      </c>
      <c r="Q83" s="29">
        <v>6.5429266976753568E-3</v>
      </c>
      <c r="R83" s="29">
        <v>1.7806304797048189E-6</v>
      </c>
      <c r="S83" s="29">
        <v>2.7570095260762948E-4</v>
      </c>
      <c r="T83" s="96"/>
      <c r="U83" s="96"/>
    </row>
    <row r="84" spans="1:23" ht="12.75" customHeight="1">
      <c r="A84" s="48">
        <f t="shared" si="19"/>
        <v>38</v>
      </c>
      <c r="B84" s="49">
        <f t="shared" si="19"/>
        <v>40991</v>
      </c>
      <c r="C84" s="29">
        <v>1.0634082716445788E-2</v>
      </c>
      <c r="D84" s="29">
        <v>2.2746230142541086E-4</v>
      </c>
      <c r="E84" s="29">
        <v>5.1608994945347413E-3</v>
      </c>
      <c r="F84" s="29">
        <v>6.5382937920695199E-3</v>
      </c>
      <c r="G84" s="29">
        <v>1.9843517676609067E-3</v>
      </c>
      <c r="H84" s="29">
        <v>2.0016682525436156E-3</v>
      </c>
      <c r="I84" s="29">
        <v>2.2423380424388889E-4</v>
      </c>
      <c r="J84" s="29">
        <v>2.1492986236623015E-3</v>
      </c>
      <c r="K84" s="29">
        <v>5.8846698626832097E-4</v>
      </c>
      <c r="L84" s="29">
        <v>4.0006950073932582E-3</v>
      </c>
      <c r="M84" s="29">
        <v>2.8205325376750944E-4</v>
      </c>
      <c r="N84" s="29">
        <v>1.8296774026916275E-3</v>
      </c>
      <c r="O84" s="29">
        <v>7.5781633842633657E-4</v>
      </c>
      <c r="P84" s="29">
        <v>2.9763809016194729E-3</v>
      </c>
      <c r="Q84" s="29">
        <v>8.5478865376950527E-3</v>
      </c>
      <c r="R84" s="29">
        <v>1.2326989238538395E-5</v>
      </c>
      <c r="S84" s="29">
        <v>3.3752470534093222E-4</v>
      </c>
      <c r="T84" s="96"/>
      <c r="U84" s="96"/>
    </row>
    <row r="85" spans="1:23" ht="12.75" customHeight="1">
      <c r="A85" s="48">
        <f t="shared" si="19"/>
        <v>39</v>
      </c>
      <c r="B85" s="49">
        <f t="shared" si="19"/>
        <v>40998</v>
      </c>
      <c r="C85" s="29">
        <v>1.0739345017942386E-2</v>
      </c>
      <c r="D85" s="33">
        <v>1.5771685349372745E-4</v>
      </c>
      <c r="E85" s="29">
        <v>4.8406389662581668E-3</v>
      </c>
      <c r="F85" s="29">
        <v>5.3192940603210724E-3</v>
      </c>
      <c r="G85" s="29">
        <v>1.8784819166498738E-3</v>
      </c>
      <c r="H85" s="29">
        <v>1.8650795740161126E-3</v>
      </c>
      <c r="I85" s="29">
        <v>2.5536249268256025E-4</v>
      </c>
      <c r="J85" s="29">
        <v>1.967751091692606E-3</v>
      </c>
      <c r="K85" s="29">
        <v>9.9344864772756111E-4</v>
      </c>
      <c r="L85" s="29">
        <v>4.2401661507562513E-3</v>
      </c>
      <c r="M85" s="29">
        <v>4.2360975824567163E-4</v>
      </c>
      <c r="N85" s="29">
        <v>2.5840195252985971E-3</v>
      </c>
      <c r="O85" s="29">
        <v>1.1813207721472515E-3</v>
      </c>
      <c r="P85" s="29">
        <v>4.9823208741007867E-3</v>
      </c>
      <c r="Q85" s="29">
        <v>7.2267346101617521E-3</v>
      </c>
      <c r="R85" s="29">
        <v>0</v>
      </c>
      <c r="S85" s="29">
        <v>3.9943767599549492E-4</v>
      </c>
      <c r="T85" s="96"/>
      <c r="U85" s="96"/>
    </row>
    <row r="86" spans="1:23">
      <c r="A86" s="48"/>
      <c r="B86" s="49"/>
      <c r="C86" s="29"/>
      <c r="D86" s="33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96"/>
      <c r="U86" s="96"/>
    </row>
    <row r="88" spans="1:23">
      <c r="A88" s="32" t="s">
        <v>71</v>
      </c>
    </row>
    <row r="89" spans="1:23" ht="73.5">
      <c r="A89" s="37" t="s">
        <v>38</v>
      </c>
      <c r="B89" s="37" t="s">
        <v>22</v>
      </c>
      <c r="C89" s="38" t="s">
        <v>55</v>
      </c>
      <c r="D89" s="38" t="s">
        <v>61</v>
      </c>
      <c r="E89" s="38" t="s">
        <v>62</v>
      </c>
      <c r="F89" s="38" t="s">
        <v>63</v>
      </c>
      <c r="G89" s="38" t="s">
        <v>46</v>
      </c>
      <c r="H89" s="38" t="s">
        <v>59</v>
      </c>
      <c r="I89" s="38" t="s">
        <v>64</v>
      </c>
      <c r="J89" s="38" t="s">
        <v>65</v>
      </c>
      <c r="K89" s="38" t="s">
        <v>58</v>
      </c>
      <c r="L89" s="38" t="s">
        <v>57</v>
      </c>
      <c r="M89" s="38" t="s">
        <v>56</v>
      </c>
      <c r="N89" s="38" t="s">
        <v>195</v>
      </c>
      <c r="O89" s="38" t="s">
        <v>196</v>
      </c>
      <c r="P89" s="38" t="s">
        <v>66</v>
      </c>
      <c r="Q89" s="38" t="s">
        <v>67</v>
      </c>
      <c r="R89" s="38" t="s">
        <v>68</v>
      </c>
      <c r="S89" s="38" t="s">
        <v>60</v>
      </c>
      <c r="T89" s="121" t="s">
        <v>69</v>
      </c>
      <c r="U89" s="127" t="s">
        <v>91</v>
      </c>
      <c r="V89" s="178" t="s">
        <v>112</v>
      </c>
      <c r="W89" s="38" t="s">
        <v>54</v>
      </c>
    </row>
    <row r="90" spans="1:23">
      <c r="A90" s="48">
        <f>A56</f>
        <v>27</v>
      </c>
      <c r="B90" s="49">
        <f>B56</f>
        <v>40914</v>
      </c>
      <c r="C90" s="100">
        <v>0</v>
      </c>
      <c r="D90" s="100">
        <v>0</v>
      </c>
      <c r="E90" s="100">
        <v>0</v>
      </c>
      <c r="F90" s="100">
        <v>0</v>
      </c>
      <c r="G90" s="100">
        <v>0</v>
      </c>
      <c r="H90" s="100">
        <v>0</v>
      </c>
      <c r="I90" s="100">
        <v>0</v>
      </c>
      <c r="J90" s="100">
        <v>0</v>
      </c>
      <c r="K90" s="100">
        <v>0</v>
      </c>
      <c r="L90" s="100">
        <v>0</v>
      </c>
      <c r="M90" s="100">
        <v>0</v>
      </c>
      <c r="N90" s="100">
        <v>0</v>
      </c>
      <c r="O90" s="100">
        <v>0</v>
      </c>
      <c r="P90" s="100">
        <v>0</v>
      </c>
      <c r="Q90" s="100">
        <v>0</v>
      </c>
      <c r="R90" s="100">
        <v>0</v>
      </c>
      <c r="S90" s="100">
        <v>0</v>
      </c>
      <c r="T90" s="123">
        <v>0</v>
      </c>
      <c r="U90" s="125">
        <v>0</v>
      </c>
      <c r="V90" s="179">
        <v>0</v>
      </c>
      <c r="W90" s="33">
        <v>0</v>
      </c>
    </row>
    <row r="91" spans="1:23">
      <c r="A91" s="48">
        <f t="shared" ref="A91:B102" si="20">A57</f>
        <v>28</v>
      </c>
      <c r="B91" s="49">
        <f t="shared" si="20"/>
        <v>40921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5.5970149253731347E-4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1.1194029850746269E-4</v>
      </c>
      <c r="Q91" s="29">
        <v>7.4626865671641792E-5</v>
      </c>
      <c r="R91" s="29">
        <v>0</v>
      </c>
      <c r="S91" s="29">
        <v>0</v>
      </c>
      <c r="T91" s="122">
        <v>0</v>
      </c>
      <c r="U91" s="125">
        <v>0</v>
      </c>
      <c r="V91" s="180">
        <v>0</v>
      </c>
      <c r="W91" s="51">
        <v>0</v>
      </c>
    </row>
    <row r="92" spans="1:23">
      <c r="A92" s="48">
        <f t="shared" si="20"/>
        <v>29</v>
      </c>
      <c r="B92" s="49">
        <f t="shared" si="20"/>
        <v>40928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5.8139534883720929E-4</v>
      </c>
      <c r="K92" s="29">
        <v>0</v>
      </c>
      <c r="L92" s="29">
        <v>0</v>
      </c>
      <c r="M92" s="29">
        <v>3.8759689922480622E-5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122">
        <v>1.937984496124031E-4</v>
      </c>
      <c r="U92" s="125">
        <v>0</v>
      </c>
      <c r="V92" s="180">
        <v>0</v>
      </c>
      <c r="W92" s="51">
        <v>0</v>
      </c>
    </row>
    <row r="93" spans="1:23">
      <c r="A93" s="48">
        <f t="shared" si="20"/>
        <v>30</v>
      </c>
      <c r="B93" s="49">
        <f t="shared" si="20"/>
        <v>40935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124">
        <v>0</v>
      </c>
      <c r="U93" s="125">
        <v>0</v>
      </c>
      <c r="V93" s="180">
        <v>0</v>
      </c>
      <c r="W93" s="51">
        <v>0</v>
      </c>
    </row>
    <row r="94" spans="1:23">
      <c r="A94" s="48">
        <f t="shared" si="20"/>
        <v>31</v>
      </c>
      <c r="B94" s="49">
        <f t="shared" si="20"/>
        <v>40942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2.3702031602708803E-3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122">
        <v>7.9006772009029347E-4</v>
      </c>
      <c r="U94" s="125">
        <v>0</v>
      </c>
      <c r="V94" s="180">
        <v>0</v>
      </c>
      <c r="W94" s="51">
        <v>0</v>
      </c>
    </row>
    <row r="95" spans="1:23">
      <c r="A95" s="48">
        <f t="shared" si="20"/>
        <v>32</v>
      </c>
      <c r="B95" s="49">
        <f t="shared" si="20"/>
        <v>40949</v>
      </c>
      <c r="C95" s="29">
        <v>0</v>
      </c>
      <c r="D95" s="29">
        <v>0</v>
      </c>
      <c r="E95" s="29">
        <v>3.2804232804232803E-3</v>
      </c>
      <c r="F95" s="29">
        <v>0</v>
      </c>
      <c r="G95" s="29">
        <v>0</v>
      </c>
      <c r="H95" s="29">
        <v>0</v>
      </c>
      <c r="I95" s="29">
        <v>0</v>
      </c>
      <c r="J95" s="29">
        <v>1.1407407407407408E-2</v>
      </c>
      <c r="K95" s="29">
        <v>0</v>
      </c>
      <c r="L95" s="29">
        <v>0</v>
      </c>
      <c r="M95" s="29">
        <v>1.4391534391534392E-3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122">
        <v>1.3968253968253967E-3</v>
      </c>
      <c r="U95" s="125">
        <v>0</v>
      </c>
      <c r="V95" s="180">
        <v>1.6931216931216931E-4</v>
      </c>
      <c r="W95" s="51">
        <v>1.2063492063492064E-3</v>
      </c>
    </row>
    <row r="96" spans="1:23">
      <c r="A96" s="48">
        <f t="shared" si="20"/>
        <v>33</v>
      </c>
      <c r="B96" s="49">
        <f t="shared" si="20"/>
        <v>40956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1.5681818181818182E-3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122">
        <v>0</v>
      </c>
      <c r="U96" s="125">
        <v>0</v>
      </c>
      <c r="V96" s="180">
        <v>0</v>
      </c>
      <c r="W96" s="51">
        <v>0</v>
      </c>
    </row>
    <row r="97" spans="1:23">
      <c r="A97" s="48">
        <f t="shared" si="20"/>
        <v>34</v>
      </c>
      <c r="B97" s="49">
        <f t="shared" si="20"/>
        <v>40963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7.3275862068965518E-4</v>
      </c>
      <c r="K97" s="29">
        <v>0</v>
      </c>
      <c r="L97" s="29">
        <v>0</v>
      </c>
      <c r="M97" s="29">
        <v>4.7413793103448276E-4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122">
        <v>3.017241379310345E-4</v>
      </c>
      <c r="U97" s="126">
        <v>0</v>
      </c>
      <c r="V97" s="180">
        <v>0</v>
      </c>
      <c r="W97" s="51">
        <v>0</v>
      </c>
    </row>
    <row r="98" spans="1:23">
      <c r="A98" s="48">
        <f t="shared" si="20"/>
        <v>35</v>
      </c>
      <c r="B98" s="49">
        <f t="shared" si="20"/>
        <v>40970</v>
      </c>
      <c r="C98" s="266"/>
      <c r="D98" s="267"/>
      <c r="E98" s="29">
        <v>0</v>
      </c>
      <c r="F98" s="29">
        <v>0</v>
      </c>
      <c r="G98" s="29">
        <v>0</v>
      </c>
      <c r="H98" s="29">
        <v>0</v>
      </c>
      <c r="I98" s="29">
        <v>1.4788732394366197E-3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122">
        <v>0</v>
      </c>
      <c r="U98" s="125">
        <v>0</v>
      </c>
      <c r="V98" s="180">
        <v>0</v>
      </c>
      <c r="W98" s="51"/>
    </row>
    <row r="99" spans="1:23">
      <c r="A99" s="48">
        <f t="shared" si="20"/>
        <v>36</v>
      </c>
      <c r="B99" s="49">
        <f t="shared" si="20"/>
        <v>40977</v>
      </c>
      <c r="C99" s="29"/>
      <c r="D99" s="29"/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1.3725490196078431E-4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122">
        <v>0</v>
      </c>
      <c r="U99" s="125">
        <v>0</v>
      </c>
      <c r="V99" s="180">
        <v>0</v>
      </c>
      <c r="W99" s="51">
        <v>0</v>
      </c>
    </row>
    <row r="100" spans="1:23">
      <c r="A100" s="48">
        <f t="shared" si="20"/>
        <v>37</v>
      </c>
      <c r="B100" s="49">
        <f t="shared" si="20"/>
        <v>40984</v>
      </c>
      <c r="C100" s="29"/>
      <c r="D100" s="29"/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6.7944250871080139E-4</v>
      </c>
      <c r="K100" s="29">
        <v>0</v>
      </c>
      <c r="L100" s="29">
        <v>0</v>
      </c>
      <c r="M100" s="29">
        <v>1.7421602787456446E-4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122">
        <v>0</v>
      </c>
      <c r="U100" s="125">
        <v>0</v>
      </c>
      <c r="V100" s="180">
        <v>0</v>
      </c>
      <c r="W100" s="51">
        <v>0</v>
      </c>
    </row>
    <row r="101" spans="1:23">
      <c r="A101" s="48">
        <f t="shared" si="20"/>
        <v>38</v>
      </c>
      <c r="B101" s="49">
        <f t="shared" si="20"/>
        <v>40991</v>
      </c>
      <c r="C101" s="29"/>
      <c r="D101" s="29"/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8.6956521739130441E-5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122">
        <v>2.318840579710145E-2</v>
      </c>
      <c r="U101" s="125">
        <v>0</v>
      </c>
      <c r="V101" s="180">
        <v>0</v>
      </c>
      <c r="W101" s="51">
        <v>1.4492753623188405E-5</v>
      </c>
    </row>
    <row r="102" spans="1:23">
      <c r="A102" s="48">
        <f t="shared" si="20"/>
        <v>39</v>
      </c>
      <c r="B102" s="49">
        <f t="shared" si="20"/>
        <v>40998</v>
      </c>
      <c r="C102" s="29"/>
      <c r="D102" s="29"/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2.2817460317460319E-4</v>
      </c>
      <c r="K102" s="29">
        <v>0</v>
      </c>
      <c r="L102" s="29">
        <v>0</v>
      </c>
      <c r="M102" s="29">
        <v>3.9682539682539683E-5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122">
        <v>4.9603174603174603E-5</v>
      </c>
      <c r="U102" s="125">
        <v>0</v>
      </c>
      <c r="V102" s="180">
        <v>0</v>
      </c>
      <c r="W102" s="33">
        <v>0</v>
      </c>
    </row>
    <row r="103" spans="1:23">
      <c r="A103" s="48"/>
      <c r="B103" s="4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122"/>
      <c r="U103" s="125"/>
      <c r="V103" s="180"/>
      <c r="W103" s="33"/>
    </row>
    <row r="104" spans="1:23">
      <c r="A104" s="98"/>
      <c r="B104" s="99"/>
      <c r="C104" s="96"/>
      <c r="D104" s="96"/>
      <c r="E104" s="96"/>
      <c r="F104" s="96"/>
      <c r="G104" s="96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</row>
    <row r="105" spans="1:23">
      <c r="A105" s="98"/>
      <c r="B105" s="99"/>
      <c r="C105" s="96"/>
      <c r="D105" s="96"/>
      <c r="E105" s="96"/>
      <c r="F105" s="96"/>
      <c r="G105" s="96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</row>
    <row r="106" spans="1:23">
      <c r="A106" s="32" t="s">
        <v>95</v>
      </c>
      <c r="C106" s="96"/>
      <c r="D106" s="96"/>
    </row>
    <row r="107" spans="1:23" ht="111">
      <c r="A107" s="37" t="s">
        <v>38</v>
      </c>
      <c r="B107" s="93" t="s">
        <v>22</v>
      </c>
      <c r="C107" s="190"/>
      <c r="D107" s="190"/>
      <c r="E107" s="186" t="s">
        <v>96</v>
      </c>
      <c r="F107" s="186" t="s">
        <v>70</v>
      </c>
      <c r="G107" s="186" t="s">
        <v>41</v>
      </c>
      <c r="H107" s="186" t="s">
        <v>97</v>
      </c>
      <c r="I107" s="186" t="s">
        <v>98</v>
      </c>
      <c r="J107" s="186" t="s">
        <v>43</v>
      </c>
      <c r="K107" s="186" t="s">
        <v>99</v>
      </c>
      <c r="L107" s="186" t="s">
        <v>100</v>
      </c>
      <c r="M107" s="186" t="s">
        <v>92</v>
      </c>
      <c r="N107" s="186" t="s">
        <v>115</v>
      </c>
      <c r="O107" s="186" t="s">
        <v>116</v>
      </c>
      <c r="P107" s="187" t="s">
        <v>111</v>
      </c>
      <c r="Q107" s="187" t="s">
        <v>105</v>
      </c>
      <c r="R107" s="187" t="s">
        <v>106</v>
      </c>
      <c r="S107" s="187" t="s">
        <v>107</v>
      </c>
      <c r="T107" s="187" t="s">
        <v>108</v>
      </c>
      <c r="U107" s="188" t="s">
        <v>109</v>
      </c>
      <c r="V107" s="189" t="s">
        <v>54</v>
      </c>
    </row>
    <row r="108" spans="1:23">
      <c r="A108" s="48">
        <f>A56</f>
        <v>27</v>
      </c>
      <c r="B108" s="49">
        <f>B56</f>
        <v>40914</v>
      </c>
      <c r="C108" s="190"/>
      <c r="D108" s="190"/>
      <c r="E108" s="190">
        <v>0</v>
      </c>
      <c r="F108" s="190">
        <v>0</v>
      </c>
      <c r="G108" s="190">
        <v>0</v>
      </c>
      <c r="H108" s="190">
        <v>0</v>
      </c>
      <c r="I108" s="190">
        <v>0</v>
      </c>
      <c r="J108" s="190">
        <v>0</v>
      </c>
      <c r="K108" s="190">
        <v>0</v>
      </c>
      <c r="L108" s="190">
        <v>0</v>
      </c>
      <c r="M108" s="190">
        <v>0</v>
      </c>
      <c r="N108" s="190">
        <v>0</v>
      </c>
      <c r="O108" s="190">
        <v>0</v>
      </c>
      <c r="P108" s="190">
        <v>0</v>
      </c>
      <c r="Q108" s="190">
        <v>0</v>
      </c>
      <c r="R108" s="190">
        <v>0</v>
      </c>
      <c r="S108" s="190">
        <v>0</v>
      </c>
      <c r="T108" s="190">
        <v>0</v>
      </c>
      <c r="U108" s="191">
        <v>0</v>
      </c>
      <c r="V108" s="190">
        <v>0</v>
      </c>
    </row>
    <row r="109" spans="1:23">
      <c r="A109" s="48">
        <f t="shared" ref="A109:B120" si="21">A57</f>
        <v>28</v>
      </c>
      <c r="B109" s="49">
        <f t="shared" si="21"/>
        <v>40921</v>
      </c>
      <c r="C109" s="190"/>
      <c r="D109" s="190"/>
      <c r="E109" s="190">
        <v>0</v>
      </c>
      <c r="F109" s="190">
        <v>6.2123377026775172E-5</v>
      </c>
      <c r="G109" s="190">
        <v>0</v>
      </c>
      <c r="H109" s="190">
        <v>0</v>
      </c>
      <c r="I109" s="190">
        <v>0</v>
      </c>
      <c r="J109" s="190">
        <v>0</v>
      </c>
      <c r="K109" s="190">
        <v>0</v>
      </c>
      <c r="L109" s="190">
        <v>0</v>
      </c>
      <c r="M109" s="190">
        <v>0</v>
      </c>
      <c r="N109" s="190">
        <v>0</v>
      </c>
      <c r="O109" s="190">
        <v>0</v>
      </c>
      <c r="P109" s="190">
        <v>0</v>
      </c>
      <c r="Q109" s="190">
        <v>0</v>
      </c>
      <c r="R109" s="190">
        <v>0</v>
      </c>
      <c r="S109" s="190">
        <v>0</v>
      </c>
      <c r="T109" s="190">
        <v>0</v>
      </c>
      <c r="U109" s="191">
        <v>0</v>
      </c>
      <c r="V109" s="190">
        <v>2.4849350810710069E-4</v>
      </c>
    </row>
    <row r="110" spans="1:23">
      <c r="A110" s="48">
        <f t="shared" si="21"/>
        <v>29</v>
      </c>
      <c r="B110" s="49">
        <f t="shared" si="21"/>
        <v>40928</v>
      </c>
      <c r="C110" s="190"/>
      <c r="D110" s="190"/>
      <c r="E110" s="190"/>
      <c r="F110" s="190"/>
      <c r="G110" s="190"/>
      <c r="H110" s="190"/>
      <c r="I110" s="190"/>
      <c r="J110" s="190"/>
      <c r="K110" s="190"/>
      <c r="L110" s="190"/>
      <c r="M110" s="190"/>
      <c r="N110" s="190"/>
      <c r="O110" s="190"/>
      <c r="P110" s="190"/>
      <c r="Q110" s="190"/>
      <c r="R110" s="190"/>
      <c r="S110" s="190"/>
      <c r="T110" s="190"/>
      <c r="U110" s="191"/>
      <c r="V110" s="190"/>
    </row>
    <row r="111" spans="1:23">
      <c r="A111" s="48">
        <f t="shared" si="21"/>
        <v>30</v>
      </c>
      <c r="B111" s="49">
        <f t="shared" si="21"/>
        <v>40935</v>
      </c>
      <c r="C111" s="190"/>
      <c r="D111" s="190"/>
      <c r="E111" s="190">
        <v>0</v>
      </c>
      <c r="F111" s="190">
        <v>3.2076984763432237E-4</v>
      </c>
      <c r="G111" s="190">
        <v>0</v>
      </c>
      <c r="H111" s="190">
        <v>0</v>
      </c>
      <c r="I111" s="190">
        <v>0</v>
      </c>
      <c r="J111" s="190">
        <v>0</v>
      </c>
      <c r="K111" s="190">
        <v>0</v>
      </c>
      <c r="L111" s="190">
        <v>0</v>
      </c>
      <c r="M111" s="190">
        <v>0</v>
      </c>
      <c r="N111" s="190">
        <v>0</v>
      </c>
      <c r="O111" s="190">
        <v>0</v>
      </c>
      <c r="P111" s="190">
        <v>0</v>
      </c>
      <c r="Q111" s="190">
        <v>0</v>
      </c>
      <c r="R111" s="190">
        <v>0</v>
      </c>
      <c r="S111" s="190">
        <v>0</v>
      </c>
      <c r="T111" s="191">
        <v>0</v>
      </c>
      <c r="U111" s="191">
        <v>0</v>
      </c>
      <c r="V111" s="190">
        <v>0</v>
      </c>
    </row>
    <row r="112" spans="1:23">
      <c r="A112" s="48">
        <f t="shared" si="21"/>
        <v>31</v>
      </c>
      <c r="B112" s="49">
        <f t="shared" si="21"/>
        <v>40942</v>
      </c>
      <c r="C112" s="190"/>
      <c r="D112" s="190"/>
      <c r="E112" s="190">
        <v>0</v>
      </c>
      <c r="F112" s="190">
        <v>0</v>
      </c>
      <c r="G112" s="190">
        <v>0</v>
      </c>
      <c r="H112" s="190">
        <v>2.2100668545223492E-4</v>
      </c>
      <c r="I112" s="190">
        <v>0</v>
      </c>
      <c r="J112" s="190">
        <v>0</v>
      </c>
      <c r="K112" s="190">
        <v>0</v>
      </c>
      <c r="L112" s="190">
        <v>0</v>
      </c>
      <c r="M112" s="190">
        <v>0</v>
      </c>
      <c r="N112" s="190">
        <v>0</v>
      </c>
      <c r="O112" s="190">
        <v>0</v>
      </c>
      <c r="P112" s="190">
        <v>0</v>
      </c>
      <c r="Q112" s="190">
        <v>0</v>
      </c>
      <c r="R112" s="190">
        <v>0</v>
      </c>
      <c r="S112" s="190">
        <v>0</v>
      </c>
      <c r="T112" s="190">
        <v>0</v>
      </c>
      <c r="U112" s="191">
        <v>0</v>
      </c>
      <c r="V112" s="190">
        <v>0</v>
      </c>
    </row>
    <row r="113" spans="1:22">
      <c r="A113" s="48">
        <f t="shared" si="21"/>
        <v>32</v>
      </c>
      <c r="B113" s="49">
        <f t="shared" si="21"/>
        <v>40949</v>
      </c>
      <c r="C113" s="190"/>
      <c r="D113" s="190"/>
      <c r="E113" s="190">
        <v>0</v>
      </c>
      <c r="F113" s="190">
        <v>0</v>
      </c>
      <c r="G113" s="190">
        <v>0</v>
      </c>
      <c r="H113" s="190">
        <v>0</v>
      </c>
      <c r="I113" s="190">
        <v>0</v>
      </c>
      <c r="J113" s="190">
        <v>6.8390097113937905E-5</v>
      </c>
      <c r="K113" s="190">
        <v>0</v>
      </c>
      <c r="L113" s="190">
        <v>0</v>
      </c>
      <c r="M113" s="190">
        <v>0</v>
      </c>
      <c r="N113" s="190">
        <v>0</v>
      </c>
      <c r="O113" s="190">
        <v>0</v>
      </c>
      <c r="P113" s="190">
        <v>0</v>
      </c>
      <c r="Q113" s="190">
        <v>0</v>
      </c>
      <c r="R113" s="190">
        <v>0</v>
      </c>
      <c r="S113" s="190">
        <v>0</v>
      </c>
      <c r="T113" s="190">
        <v>0</v>
      </c>
      <c r="U113" s="191">
        <v>0</v>
      </c>
      <c r="V113" s="190">
        <v>0</v>
      </c>
    </row>
    <row r="114" spans="1:22">
      <c r="A114" s="48">
        <f t="shared" si="21"/>
        <v>33</v>
      </c>
      <c r="B114" s="49">
        <f t="shared" si="21"/>
        <v>40956</v>
      </c>
      <c r="C114" s="189"/>
      <c r="D114" s="189"/>
      <c r="E114" s="190">
        <v>0</v>
      </c>
      <c r="F114" s="190">
        <v>0</v>
      </c>
      <c r="G114" s="190">
        <v>0</v>
      </c>
      <c r="H114" s="190">
        <v>5.7032865188564913E-4</v>
      </c>
      <c r="I114" s="190">
        <v>0</v>
      </c>
      <c r="J114" s="190">
        <v>0</v>
      </c>
      <c r="K114" s="190">
        <v>0</v>
      </c>
      <c r="L114" s="190">
        <v>0</v>
      </c>
      <c r="M114" s="190">
        <v>0</v>
      </c>
      <c r="N114" s="190">
        <v>0</v>
      </c>
      <c r="O114" s="190">
        <v>0</v>
      </c>
      <c r="P114" s="190">
        <v>0</v>
      </c>
      <c r="Q114" s="190">
        <v>0</v>
      </c>
      <c r="R114" s="190">
        <v>0</v>
      </c>
      <c r="S114" s="190">
        <v>0</v>
      </c>
      <c r="T114" s="190">
        <v>0</v>
      </c>
      <c r="U114" s="191">
        <v>0</v>
      </c>
      <c r="V114" s="190">
        <v>0</v>
      </c>
    </row>
    <row r="115" spans="1:22">
      <c r="A115" s="48">
        <f t="shared" si="21"/>
        <v>34</v>
      </c>
      <c r="B115" s="49">
        <f t="shared" si="21"/>
        <v>40963</v>
      </c>
      <c r="C115" s="190"/>
      <c r="D115" s="190"/>
      <c r="E115" s="190">
        <v>0</v>
      </c>
      <c r="F115" s="190">
        <v>2.941176470588235E-4</v>
      </c>
      <c r="G115" s="190">
        <v>0</v>
      </c>
      <c r="H115" s="190">
        <v>2E-3</v>
      </c>
      <c r="I115" s="190">
        <v>0</v>
      </c>
      <c r="J115" s="190">
        <v>0</v>
      </c>
      <c r="K115" s="190">
        <v>0</v>
      </c>
      <c r="L115" s="190">
        <v>0</v>
      </c>
      <c r="M115" s="190">
        <v>0</v>
      </c>
      <c r="N115" s="190">
        <v>0</v>
      </c>
      <c r="O115" s="190">
        <v>0</v>
      </c>
      <c r="P115" s="190">
        <v>0</v>
      </c>
      <c r="Q115" s="190">
        <v>0</v>
      </c>
      <c r="R115" s="190">
        <v>0</v>
      </c>
      <c r="S115" s="190">
        <v>0</v>
      </c>
      <c r="T115" s="190">
        <v>0</v>
      </c>
      <c r="U115" s="191">
        <v>0</v>
      </c>
      <c r="V115" s="190">
        <v>0</v>
      </c>
    </row>
    <row r="116" spans="1:22">
      <c r="A116" s="48">
        <f t="shared" si="21"/>
        <v>35</v>
      </c>
      <c r="B116" s="49">
        <f t="shared" si="21"/>
        <v>40970</v>
      </c>
      <c r="C116" s="190"/>
      <c r="D116" s="190"/>
      <c r="E116" s="190">
        <v>0</v>
      </c>
      <c r="F116" s="190">
        <v>0</v>
      </c>
      <c r="G116" s="190">
        <v>0</v>
      </c>
      <c r="H116" s="190">
        <v>1.2893718916927612E-3</v>
      </c>
      <c r="I116" s="190">
        <v>0</v>
      </c>
      <c r="J116" s="190">
        <v>0</v>
      </c>
      <c r="K116" s="190">
        <v>0</v>
      </c>
      <c r="L116" s="190">
        <v>0</v>
      </c>
      <c r="M116" s="190">
        <v>0</v>
      </c>
      <c r="N116" s="190">
        <v>0</v>
      </c>
      <c r="O116" s="190">
        <v>0</v>
      </c>
      <c r="P116" s="190">
        <v>0</v>
      </c>
      <c r="Q116" s="190">
        <v>0</v>
      </c>
      <c r="R116" s="190">
        <v>0</v>
      </c>
      <c r="S116" s="190">
        <v>0</v>
      </c>
      <c r="T116" s="190">
        <v>0</v>
      </c>
      <c r="U116" s="191">
        <v>0</v>
      </c>
      <c r="V116" s="190">
        <v>2.4559464603671639E-4</v>
      </c>
    </row>
    <row r="117" spans="1:22">
      <c r="A117" s="48">
        <f t="shared" si="21"/>
        <v>36</v>
      </c>
      <c r="B117" s="49">
        <f t="shared" si="21"/>
        <v>40977</v>
      </c>
      <c r="C117" s="190">
        <v>7.1849403649949711E-5</v>
      </c>
      <c r="D117" s="190">
        <v>7.1849403649949711E-5</v>
      </c>
      <c r="E117" s="190">
        <v>0</v>
      </c>
      <c r="F117" s="190">
        <v>0</v>
      </c>
      <c r="G117" s="190">
        <v>0</v>
      </c>
      <c r="H117" s="190">
        <v>1.5088374766489439E-3</v>
      </c>
      <c r="I117" s="190">
        <v>0</v>
      </c>
      <c r="J117" s="190">
        <v>0</v>
      </c>
      <c r="K117" s="190">
        <v>0</v>
      </c>
      <c r="L117" s="190">
        <v>0</v>
      </c>
      <c r="M117" s="190">
        <v>0</v>
      </c>
      <c r="N117" s="190">
        <v>0</v>
      </c>
      <c r="O117" s="190">
        <v>0</v>
      </c>
      <c r="P117" s="190">
        <v>0</v>
      </c>
      <c r="Q117" s="190">
        <v>0</v>
      </c>
      <c r="R117" s="190">
        <v>0</v>
      </c>
      <c r="S117" s="190">
        <v>0</v>
      </c>
      <c r="T117" s="190">
        <v>0</v>
      </c>
      <c r="U117" s="191">
        <v>0</v>
      </c>
      <c r="V117" s="190">
        <v>0</v>
      </c>
    </row>
    <row r="118" spans="1:22">
      <c r="A118" s="48">
        <f t="shared" si="21"/>
        <v>37</v>
      </c>
      <c r="B118" s="49">
        <f t="shared" si="21"/>
        <v>40984</v>
      </c>
      <c r="C118" s="190">
        <v>0</v>
      </c>
      <c r="D118" s="190">
        <v>0</v>
      </c>
      <c r="E118" s="190">
        <v>0</v>
      </c>
      <c r="F118" s="190">
        <v>0</v>
      </c>
      <c r="G118" s="190">
        <v>0</v>
      </c>
      <c r="H118" s="190">
        <v>1.7973349860551597E-3</v>
      </c>
      <c r="I118" s="190">
        <v>0</v>
      </c>
      <c r="J118" s="190">
        <v>0</v>
      </c>
      <c r="K118" s="190">
        <v>0</v>
      </c>
      <c r="L118" s="190">
        <v>0</v>
      </c>
      <c r="M118" s="190">
        <v>0</v>
      </c>
      <c r="N118" s="190">
        <v>0</v>
      </c>
      <c r="O118" s="190">
        <v>0</v>
      </c>
      <c r="P118" s="190">
        <v>0</v>
      </c>
      <c r="Q118" s="190">
        <v>0</v>
      </c>
      <c r="R118" s="190">
        <v>0</v>
      </c>
      <c r="S118" s="190">
        <v>0</v>
      </c>
      <c r="T118" s="190">
        <v>0</v>
      </c>
      <c r="U118" s="191">
        <v>0</v>
      </c>
      <c r="V118" s="190">
        <v>0</v>
      </c>
    </row>
    <row r="119" spans="1:22">
      <c r="A119" s="48">
        <f t="shared" si="21"/>
        <v>38</v>
      </c>
      <c r="B119" s="49">
        <f t="shared" si="21"/>
        <v>40991</v>
      </c>
      <c r="C119" s="190">
        <v>0</v>
      </c>
      <c r="D119" s="190">
        <v>0</v>
      </c>
      <c r="E119" s="190">
        <v>0</v>
      </c>
      <c r="F119" s="190">
        <v>0</v>
      </c>
      <c r="G119" s="190">
        <v>0</v>
      </c>
      <c r="H119" s="190">
        <v>1.1090090677800249E-3</v>
      </c>
      <c r="I119" s="190">
        <v>0</v>
      </c>
      <c r="J119" s="190">
        <v>0</v>
      </c>
      <c r="K119" s="190">
        <v>0</v>
      </c>
      <c r="L119" s="190">
        <v>0</v>
      </c>
      <c r="M119" s="190">
        <v>1.9570748254941613E-4</v>
      </c>
      <c r="N119" s="190">
        <v>6.5235827516472048E-5</v>
      </c>
      <c r="O119" s="190">
        <v>0</v>
      </c>
      <c r="P119" s="190">
        <v>0</v>
      </c>
      <c r="Q119" s="190">
        <v>0</v>
      </c>
      <c r="R119" s="190">
        <v>0</v>
      </c>
      <c r="S119" s="190">
        <v>0</v>
      </c>
      <c r="T119" s="190">
        <v>0</v>
      </c>
      <c r="U119" s="191">
        <v>0</v>
      </c>
      <c r="V119" s="190">
        <v>6.5235827516472048E-5</v>
      </c>
    </row>
    <row r="120" spans="1:22">
      <c r="A120" s="48">
        <f t="shared" si="21"/>
        <v>39</v>
      </c>
      <c r="B120" s="49">
        <f t="shared" si="21"/>
        <v>40998</v>
      </c>
      <c r="C120" s="190">
        <v>0</v>
      </c>
      <c r="D120" s="190">
        <v>0</v>
      </c>
      <c r="E120" s="190">
        <v>0</v>
      </c>
      <c r="F120" s="190">
        <v>0</v>
      </c>
      <c r="G120" s="190">
        <v>0</v>
      </c>
      <c r="H120" s="190">
        <v>9.1954022988505744E-4</v>
      </c>
      <c r="I120" s="190">
        <v>1.6718913270637409E-4</v>
      </c>
      <c r="J120" s="190">
        <v>0</v>
      </c>
      <c r="K120" s="190">
        <v>0</v>
      </c>
      <c r="L120" s="190">
        <v>0</v>
      </c>
      <c r="M120" s="190">
        <v>4.1797283176593522E-5</v>
      </c>
      <c r="N120" s="190">
        <v>0</v>
      </c>
      <c r="O120" s="190">
        <v>0</v>
      </c>
      <c r="P120" s="190">
        <v>0</v>
      </c>
      <c r="Q120" s="190">
        <v>0</v>
      </c>
      <c r="R120" s="190">
        <v>0</v>
      </c>
      <c r="S120" s="190">
        <v>0</v>
      </c>
      <c r="T120" s="190">
        <v>0</v>
      </c>
      <c r="U120" s="191">
        <v>0</v>
      </c>
      <c r="V120" s="190">
        <v>0</v>
      </c>
    </row>
    <row r="121" spans="1:22">
      <c r="A121" s="48"/>
      <c r="B121" s="131"/>
      <c r="C121" s="190"/>
      <c r="D121" s="190"/>
      <c r="E121" s="190"/>
      <c r="F121" s="190"/>
      <c r="G121" s="190"/>
      <c r="H121" s="190"/>
      <c r="I121" s="190"/>
      <c r="J121" s="190"/>
      <c r="K121" s="190"/>
      <c r="L121" s="190"/>
      <c r="M121" s="190"/>
      <c r="N121" s="190"/>
      <c r="O121" s="190"/>
      <c r="P121" s="190"/>
      <c r="Q121" s="190"/>
      <c r="R121" s="190"/>
      <c r="S121" s="190"/>
      <c r="T121" s="190"/>
      <c r="U121" s="191"/>
      <c r="V121" s="190"/>
    </row>
    <row r="122" spans="1:22">
      <c r="A122" s="98"/>
      <c r="B122" s="99"/>
      <c r="C122" s="96"/>
      <c r="D122" s="96"/>
      <c r="E122" s="96"/>
      <c r="F122" s="96"/>
      <c r="G122" s="96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</row>
    <row r="123" spans="1:22">
      <c r="A123" s="98"/>
      <c r="B123" s="99"/>
      <c r="C123" s="96"/>
      <c r="D123" s="96"/>
      <c r="E123" s="96"/>
      <c r="F123" s="96"/>
      <c r="G123" s="96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</row>
    <row r="124" spans="1:22">
      <c r="A124" s="75"/>
    </row>
    <row r="125" spans="1:22">
      <c r="B125" s="74"/>
      <c r="D125" s="28"/>
    </row>
    <row r="126" spans="1:22">
      <c r="B126" s="74"/>
      <c r="D126" s="28"/>
    </row>
    <row r="127" spans="1:22">
      <c r="B127" s="74"/>
      <c r="D127" s="28"/>
    </row>
    <row r="128" spans="1:22">
      <c r="B128" s="74"/>
      <c r="D128" s="28"/>
    </row>
    <row r="129" spans="2:4">
      <c r="B129" s="74"/>
      <c r="D129" s="28"/>
    </row>
    <row r="130" spans="2:4">
      <c r="B130" s="74"/>
      <c r="D130" s="28"/>
    </row>
    <row r="131" spans="2:4">
      <c r="B131" s="74"/>
      <c r="D131" s="28"/>
    </row>
    <row r="132" spans="2:4">
      <c r="B132" s="74"/>
      <c r="D132" s="28"/>
    </row>
    <row r="133" spans="2:4">
      <c r="B133" s="74"/>
      <c r="D133" s="28"/>
    </row>
    <row r="134" spans="2:4">
      <c r="B134" s="74"/>
      <c r="D134" s="28"/>
    </row>
    <row r="135" spans="2:4">
      <c r="B135" s="74"/>
      <c r="D135" s="28"/>
    </row>
    <row r="136" spans="2:4">
      <c r="B136" s="74"/>
      <c r="D136" s="28"/>
    </row>
    <row r="137" spans="2:4">
      <c r="B137" s="74"/>
      <c r="D137" s="28"/>
    </row>
    <row r="138" spans="2:4">
      <c r="B138" s="74"/>
      <c r="D138" s="28"/>
    </row>
    <row r="139" spans="2:4">
      <c r="B139" s="74"/>
      <c r="D139" s="28"/>
    </row>
    <row r="140" spans="2:4">
      <c r="B140" s="74"/>
      <c r="D140" s="28"/>
    </row>
    <row r="141" spans="2:4">
      <c r="B141" s="74"/>
      <c r="D141" s="28"/>
    </row>
    <row r="142" spans="2:4">
      <c r="B142" s="74"/>
      <c r="D142" s="28"/>
    </row>
    <row r="143" spans="2:4">
      <c r="B143" s="74"/>
      <c r="D143" s="28"/>
    </row>
  </sheetData>
  <sheetProtection formatCells="0" selectLockedCells="1" autoFilter="0"/>
  <mergeCells count="1">
    <mergeCell ref="A70:B70"/>
  </mergeCells>
  <phoneticPr fontId="12" type="noConversion"/>
  <conditionalFormatting sqref="U104:U105 V90:V103 C108:U123 C90:T105 C56:S69 C73:C86 E73:U86">
    <cfRule type="cellIs" dxfId="4" priority="3" stopIfTrue="1" operator="equal">
      <formula>0</formula>
    </cfRule>
  </conditionalFormatting>
  <conditionalFormatting sqref="B5:O5 B24:O24 B34:P34 B44:P44 B14:O14">
    <cfRule type="containsErrors" dxfId="3" priority="2" stopIfTrue="1">
      <formula>ISERROR(B5)</formula>
    </cfRule>
  </conditionalFormatting>
  <conditionalFormatting sqref="O35:O37 O15:O16 O25:O26 B6:N8 P6:P8 B45:N46 O45 O6 B15:N18 B25:N28 B35:N38">
    <cfRule type="cellIs" dxfId="2" priority="1" stopIfTrue="1" operator="equal">
      <formula>0</formula>
    </cfRule>
  </conditionalFormatting>
  <hyperlinks>
    <hyperlink ref="A2" location="'Exec Summary, Metric Goals'!A1" display="Back"/>
  </hyperlinks>
  <pageMargins left="0.75" right="0.75" top="1" bottom="1" header="0.5" footer="0.5"/>
  <pageSetup paperSize="9" orientation="portrait" r:id="rId1"/>
  <headerFooter alignWithMargins="0"/>
  <cellWatches>
    <cellWatch r="N26"/>
  </cellWatches>
  <legacyDrawing r:id="rId2"/>
  <controls>
    <control shapeId="71695" r:id="rId3" name="CommandButton2"/>
    <control shapeId="71693" r:id="rId4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4" enableFormatConditionsCalculation="0">
    <tabColor theme="0" tint="-0.34998626667073579"/>
  </sheetPr>
  <dimension ref="A1:R43"/>
  <sheetViews>
    <sheetView showGridLines="0" zoomScale="90" zoomScaleNormal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ColWidth="10.28515625" defaultRowHeight="12.75"/>
  <cols>
    <col min="1" max="1" width="22.42578125" style="30" customWidth="1"/>
    <col min="2" max="3" width="8.28515625" style="30" bestFit="1" customWidth="1"/>
    <col min="4" max="8" width="9.85546875" style="30" bestFit="1" customWidth="1"/>
    <col min="9" max="14" width="9.85546875" style="30" customWidth="1"/>
    <col min="15" max="15" width="11" style="30" bestFit="1" customWidth="1"/>
    <col min="16" max="16" width="10.7109375" style="30" bestFit="1" customWidth="1"/>
    <col min="17" max="16384" width="10.28515625" style="30"/>
  </cols>
  <sheetData>
    <row r="1" spans="1:17" ht="18">
      <c r="A1" s="184" t="s">
        <v>33</v>
      </c>
      <c r="B1" s="185"/>
      <c r="C1" s="185"/>
    </row>
    <row r="2" spans="1:17">
      <c r="A2" s="81" t="s">
        <v>228</v>
      </c>
    </row>
    <row r="3" spans="1:17" s="32" customFormat="1">
      <c r="A3" s="43" t="s">
        <v>34</v>
      </c>
      <c r="B3" s="80">
        <f>'Cum-Yield'!B3</f>
        <v>27</v>
      </c>
      <c r="C3" s="80">
        <f>'Cum-Yield'!C3</f>
        <v>28</v>
      </c>
      <c r="D3" s="80">
        <f>'Cum-Yield'!D3</f>
        <v>29</v>
      </c>
      <c r="E3" s="80">
        <f>'Cum-Yield'!E3</f>
        <v>30</v>
      </c>
      <c r="F3" s="80">
        <f>'Cum-Yield'!F3</f>
        <v>31</v>
      </c>
      <c r="G3" s="80">
        <f>'Cum-Yield'!G3</f>
        <v>32</v>
      </c>
      <c r="H3" s="80">
        <f>'Cum-Yield'!H3</f>
        <v>33</v>
      </c>
      <c r="I3" s="80">
        <f>'Cum-Yield'!I3</f>
        <v>34</v>
      </c>
      <c r="J3" s="80">
        <f>'Cum-Yield'!J3</f>
        <v>35</v>
      </c>
      <c r="K3" s="80">
        <f>'Cum-Yield'!K3</f>
        <v>36</v>
      </c>
      <c r="L3" s="80">
        <f>'Cum-Yield'!L3</f>
        <v>37</v>
      </c>
      <c r="M3" s="80">
        <f>'Cum-Yield'!M3</f>
        <v>38</v>
      </c>
      <c r="N3" s="80">
        <f>'Cum-Yield'!N3</f>
        <v>39</v>
      </c>
      <c r="O3" s="44" t="s">
        <v>213</v>
      </c>
      <c r="P3" s="41" t="s">
        <v>12</v>
      </c>
      <c r="Q3" s="52" t="s">
        <v>214</v>
      </c>
    </row>
    <row r="4" spans="1:17">
      <c r="A4" s="39" t="s">
        <v>22</v>
      </c>
      <c r="B4" s="49">
        <f>'Cum-Yield'!B4</f>
        <v>40914</v>
      </c>
      <c r="C4" s="49">
        <f>'Cum-Yield'!C4</f>
        <v>40921</v>
      </c>
      <c r="D4" s="49">
        <f>'Cum-Yield'!D4</f>
        <v>40928</v>
      </c>
      <c r="E4" s="49">
        <f>'Cum-Yield'!E4</f>
        <v>40935</v>
      </c>
      <c r="F4" s="49">
        <f>'Cum-Yield'!F4</f>
        <v>40942</v>
      </c>
      <c r="G4" s="49">
        <f>'Cum-Yield'!G4</f>
        <v>40949</v>
      </c>
      <c r="H4" s="49">
        <f>'Cum-Yield'!H4</f>
        <v>40956</v>
      </c>
      <c r="I4" s="49">
        <f>'Cum-Yield'!I4</f>
        <v>40963</v>
      </c>
      <c r="J4" s="49">
        <f>'Cum-Yield'!J4</f>
        <v>40970</v>
      </c>
      <c r="K4" s="49">
        <f>'Cum-Yield'!K4</f>
        <v>40977</v>
      </c>
      <c r="L4" s="49">
        <f>'Cum-Yield'!L4</f>
        <v>40984</v>
      </c>
      <c r="M4" s="49">
        <f>'Cum-Yield'!M4</f>
        <v>40991</v>
      </c>
      <c r="N4" s="49">
        <f>'Cum-Yield'!N4</f>
        <v>40998</v>
      </c>
      <c r="O4" s="47"/>
      <c r="P4" s="50"/>
      <c r="Q4" s="34"/>
    </row>
    <row r="5" spans="1:17">
      <c r="A5" s="33" t="s">
        <v>13</v>
      </c>
      <c r="B5" s="94" t="e">
        <f>B7/B6</f>
        <v>#DIV/0!</v>
      </c>
      <c r="C5" s="94" t="e">
        <f>C7/C6</f>
        <v>#DIV/0!</v>
      </c>
      <c r="D5" s="94" t="e">
        <f t="shared" ref="D5:L5" si="0">D7/D6</f>
        <v>#DIV/0!</v>
      </c>
      <c r="E5" s="94" t="e">
        <f t="shared" si="0"/>
        <v>#DIV/0!</v>
      </c>
      <c r="F5" s="94" t="e">
        <f t="shared" si="0"/>
        <v>#DIV/0!</v>
      </c>
      <c r="G5" s="94" t="e">
        <f t="shared" si="0"/>
        <v>#DIV/0!</v>
      </c>
      <c r="H5" s="94" t="e">
        <f t="shared" si="0"/>
        <v>#DIV/0!</v>
      </c>
      <c r="I5" s="94">
        <f t="shared" si="0"/>
        <v>0.79679281193746554</v>
      </c>
      <c r="J5" s="94">
        <f t="shared" si="0"/>
        <v>0.76299443480342288</v>
      </c>
      <c r="K5" s="94">
        <f t="shared" si="0"/>
        <v>0.60408440868260604</v>
      </c>
      <c r="L5" s="94">
        <f t="shared" si="0"/>
        <v>0.58797256560346789</v>
      </c>
      <c r="M5" s="94">
        <f>M7/M6</f>
        <v>0.74273272148342384</v>
      </c>
      <c r="N5" s="94">
        <f>N7/N6</f>
        <v>0.75464025691576242</v>
      </c>
      <c r="O5" s="27">
        <f>O7/O6</f>
        <v>0.70477155417007564</v>
      </c>
      <c r="P5" s="29">
        <v>0.74399999999999999</v>
      </c>
      <c r="Q5" s="27" t="s">
        <v>90</v>
      </c>
    </row>
    <row r="6" spans="1:17">
      <c r="A6" s="269" t="s">
        <v>14</v>
      </c>
      <c r="B6" s="265">
        <f>'Cum-Yield'!B6</f>
        <v>0</v>
      </c>
      <c r="C6" s="265">
        <f>'Cum-Yield'!C6</f>
        <v>0</v>
      </c>
      <c r="D6" s="265">
        <f>'Cum-Yield'!D6</f>
        <v>0</v>
      </c>
      <c r="E6" s="265">
        <f>'Cum-Yield'!E6</f>
        <v>0</v>
      </c>
      <c r="F6" s="265">
        <f>'Cum-Yield'!F6</f>
        <v>0</v>
      </c>
      <c r="G6" s="265">
        <f>'Cum-Yield'!G6</f>
        <v>0</v>
      </c>
      <c r="H6" s="265">
        <f>'Cum-Yield'!H6</f>
        <v>0</v>
      </c>
      <c r="I6" s="265">
        <f>'Cum-Yield'!I6</f>
        <v>969385</v>
      </c>
      <c r="J6" s="265">
        <f>'Cum-Yield'!J6</f>
        <v>1336880</v>
      </c>
      <c r="K6" s="265">
        <f>'Cum-Yield'!K6</f>
        <v>1042452</v>
      </c>
      <c r="L6" s="265">
        <f>'Cum-Yield'!L6</f>
        <v>1452629</v>
      </c>
      <c r="M6" s="265">
        <f>'Cum-Yield'!M6</f>
        <v>961020</v>
      </c>
      <c r="N6" s="265">
        <f>'Cum-Yield'!N6</f>
        <v>1425837</v>
      </c>
      <c r="O6" s="263">
        <f>SUM(B6:N6)</f>
        <v>7188203</v>
      </c>
      <c r="P6" s="40"/>
      <c r="Q6" s="40"/>
    </row>
    <row r="7" spans="1:17">
      <c r="A7" s="33" t="s">
        <v>72</v>
      </c>
      <c r="B7" s="262">
        <v>0</v>
      </c>
      <c r="C7" s="262">
        <v>0</v>
      </c>
      <c r="D7" s="262">
        <v>0</v>
      </c>
      <c r="E7" s="262">
        <v>0</v>
      </c>
      <c r="F7" s="262">
        <v>0</v>
      </c>
      <c r="G7" s="262">
        <v>0</v>
      </c>
      <c r="H7" s="262">
        <v>0</v>
      </c>
      <c r="I7" s="262">
        <v>772399</v>
      </c>
      <c r="J7" s="262">
        <v>1020032</v>
      </c>
      <c r="K7" s="262">
        <v>629729</v>
      </c>
      <c r="L7" s="262">
        <v>854106</v>
      </c>
      <c r="M7" s="262">
        <v>713781</v>
      </c>
      <c r="N7" s="262">
        <v>1075994</v>
      </c>
      <c r="O7" s="263">
        <f>SUM(B7:N7)</f>
        <v>5066041</v>
      </c>
      <c r="P7" s="33"/>
    </row>
    <row r="8" spans="1:17">
      <c r="C8" s="28"/>
    </row>
    <row r="9" spans="1:17" ht="18">
      <c r="A9" s="184" t="s">
        <v>35</v>
      </c>
      <c r="B9" s="185"/>
      <c r="C9" s="185"/>
    </row>
    <row r="10" spans="1:17">
      <c r="A10" s="79"/>
    </row>
    <row r="11" spans="1:17" s="32" customFormat="1">
      <c r="A11" s="43" t="s">
        <v>34</v>
      </c>
      <c r="B11" s="80">
        <f>B3</f>
        <v>27</v>
      </c>
      <c r="C11" s="80">
        <f>B11+1</f>
        <v>28</v>
      </c>
      <c r="D11" s="80">
        <f t="shared" ref="D11:L11" si="1">C11+1</f>
        <v>29</v>
      </c>
      <c r="E11" s="80">
        <f t="shared" si="1"/>
        <v>30</v>
      </c>
      <c r="F11" s="80">
        <f t="shared" si="1"/>
        <v>31</v>
      </c>
      <c r="G11" s="80">
        <f t="shared" si="1"/>
        <v>32</v>
      </c>
      <c r="H11" s="80">
        <f t="shared" si="1"/>
        <v>33</v>
      </c>
      <c r="I11" s="80">
        <f t="shared" si="1"/>
        <v>34</v>
      </c>
      <c r="J11" s="80">
        <f t="shared" si="1"/>
        <v>35</v>
      </c>
      <c r="K11" s="80">
        <f t="shared" si="1"/>
        <v>36</v>
      </c>
      <c r="L11" s="80">
        <f t="shared" si="1"/>
        <v>37</v>
      </c>
      <c r="M11" s="80">
        <f>L11+1</f>
        <v>38</v>
      </c>
      <c r="N11" s="80">
        <f>M11+1</f>
        <v>39</v>
      </c>
      <c r="O11" s="44" t="str">
        <f>O3</f>
        <v>Q3 Cum</v>
      </c>
      <c r="P11" s="41" t="s">
        <v>12</v>
      </c>
      <c r="Q11" s="52" t="str">
        <f>Q3</f>
        <v>CQ4 Goal</v>
      </c>
    </row>
    <row r="12" spans="1:17">
      <c r="A12" s="39" t="s">
        <v>22</v>
      </c>
      <c r="B12" s="49">
        <f>B4</f>
        <v>40914</v>
      </c>
      <c r="C12" s="49">
        <f t="shared" ref="C12:L12" si="2">+B12+7</f>
        <v>40921</v>
      </c>
      <c r="D12" s="49">
        <f t="shared" si="2"/>
        <v>40928</v>
      </c>
      <c r="E12" s="49">
        <f t="shared" si="2"/>
        <v>40935</v>
      </c>
      <c r="F12" s="49">
        <f t="shared" si="2"/>
        <v>40942</v>
      </c>
      <c r="G12" s="49">
        <f t="shared" si="2"/>
        <v>40949</v>
      </c>
      <c r="H12" s="49">
        <f t="shared" si="2"/>
        <v>40956</v>
      </c>
      <c r="I12" s="49">
        <f t="shared" si="2"/>
        <v>40963</v>
      </c>
      <c r="J12" s="49">
        <f t="shared" si="2"/>
        <v>40970</v>
      </c>
      <c r="K12" s="49">
        <f t="shared" si="2"/>
        <v>40977</v>
      </c>
      <c r="L12" s="49">
        <f t="shared" si="2"/>
        <v>40984</v>
      </c>
      <c r="M12" s="49">
        <f>+L12+7</f>
        <v>40991</v>
      </c>
      <c r="N12" s="49">
        <f>+M12+7</f>
        <v>40998</v>
      </c>
      <c r="O12" s="47"/>
      <c r="P12" s="34"/>
      <c r="Q12" s="34"/>
    </row>
    <row r="13" spans="1:17">
      <c r="A13" s="33" t="s">
        <v>13</v>
      </c>
      <c r="B13" s="94">
        <f>B15/B14</f>
        <v>0.97554978571652018</v>
      </c>
      <c r="C13" s="94">
        <f t="shared" ref="C13:O13" si="3">C15/C14</f>
        <v>0.97945579311003828</v>
      </c>
      <c r="D13" s="94">
        <f t="shared" si="3"/>
        <v>0.98948808830989909</v>
      </c>
      <c r="E13" s="94">
        <f t="shared" si="3"/>
        <v>0.99877305194175836</v>
      </c>
      <c r="F13" s="94">
        <f t="shared" si="3"/>
        <v>0.9700450488016048</v>
      </c>
      <c r="G13" s="94">
        <f t="shared" si="3"/>
        <v>0.98787707132452718</v>
      </c>
      <c r="H13" s="94">
        <f t="shared" si="3"/>
        <v>0.9342953996430241</v>
      </c>
      <c r="I13" s="94">
        <f t="shared" si="3"/>
        <v>0.99301300485323307</v>
      </c>
      <c r="J13" s="130">
        <f t="shared" si="3"/>
        <v>0.9800470200614716</v>
      </c>
      <c r="K13" s="94">
        <f t="shared" si="3"/>
        <v>0.95408509535887109</v>
      </c>
      <c r="L13" s="94">
        <f t="shared" si="3"/>
        <v>0.96294371033806558</v>
      </c>
      <c r="M13" s="94">
        <f>M15/M14</f>
        <v>0.96391629285650648</v>
      </c>
      <c r="N13" s="94">
        <f>N15/N14</f>
        <v>0.9848401974200881</v>
      </c>
      <c r="O13" s="27">
        <f t="shared" si="3"/>
        <v>0.97372928053917163</v>
      </c>
      <c r="P13" s="27">
        <v>0.82499999999999996</v>
      </c>
      <c r="Q13" s="27" t="s">
        <v>90</v>
      </c>
    </row>
    <row r="14" spans="1:17">
      <c r="A14" s="33" t="s">
        <v>14</v>
      </c>
      <c r="B14" s="265">
        <v>799175</v>
      </c>
      <c r="C14" s="265">
        <v>617449</v>
      </c>
      <c r="D14" s="265">
        <v>1178758</v>
      </c>
      <c r="E14" s="265">
        <v>1392887</v>
      </c>
      <c r="F14" s="265">
        <v>1319014</v>
      </c>
      <c r="G14" s="265">
        <v>1606460</v>
      </c>
      <c r="H14" s="265">
        <v>1217449</v>
      </c>
      <c r="I14" s="265">
        <v>1324890</v>
      </c>
      <c r="J14" s="265">
        <v>1898764</v>
      </c>
      <c r="K14" s="265">
        <v>1563305</v>
      </c>
      <c r="L14" s="265">
        <v>2637447</v>
      </c>
      <c r="M14" s="265">
        <v>2278563</v>
      </c>
      <c r="N14" s="265">
        <v>1409583</v>
      </c>
      <c r="O14" s="263">
        <f>SUM(B14:N14)</f>
        <v>19243744</v>
      </c>
      <c r="P14" s="40"/>
      <c r="Q14" s="40"/>
    </row>
    <row r="15" spans="1:17">
      <c r="A15" s="33" t="s">
        <v>72</v>
      </c>
      <c r="B15" s="262">
        <v>779635</v>
      </c>
      <c r="C15" s="262">
        <v>604764</v>
      </c>
      <c r="D15" s="262">
        <v>1166367</v>
      </c>
      <c r="E15" s="262">
        <v>1391178</v>
      </c>
      <c r="F15" s="262">
        <v>1279503</v>
      </c>
      <c r="G15" s="262">
        <v>1586985</v>
      </c>
      <c r="H15" s="262">
        <v>1137457</v>
      </c>
      <c r="I15" s="262">
        <v>1315633</v>
      </c>
      <c r="J15" s="262">
        <v>1860878</v>
      </c>
      <c r="K15" s="262">
        <v>1491526</v>
      </c>
      <c r="L15" s="262">
        <v>2539713</v>
      </c>
      <c r="M15" s="262">
        <v>2196344</v>
      </c>
      <c r="N15" s="262">
        <v>1388214</v>
      </c>
      <c r="O15" s="263">
        <f>SUM(B15:N15)</f>
        <v>18738197</v>
      </c>
      <c r="P15" s="33"/>
    </row>
    <row r="16" spans="1:17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5"/>
    </row>
    <row r="17" spans="1:17" ht="18">
      <c r="A17" s="184" t="s">
        <v>36</v>
      </c>
      <c r="B17" s="185"/>
      <c r="C17" s="185"/>
    </row>
    <row r="18" spans="1:17">
      <c r="A18" s="79"/>
    </row>
    <row r="19" spans="1:17" s="32" customFormat="1">
      <c r="A19" s="31" t="s">
        <v>34</v>
      </c>
      <c r="B19" s="80">
        <f>B11</f>
        <v>27</v>
      </c>
      <c r="C19" s="80">
        <f>B19+1</f>
        <v>28</v>
      </c>
      <c r="D19" s="80">
        <f t="shared" ref="D19:L19" si="4">C19+1</f>
        <v>29</v>
      </c>
      <c r="E19" s="80">
        <f t="shared" si="4"/>
        <v>30</v>
      </c>
      <c r="F19" s="80">
        <f t="shared" si="4"/>
        <v>31</v>
      </c>
      <c r="G19" s="80">
        <f t="shared" si="4"/>
        <v>32</v>
      </c>
      <c r="H19" s="80">
        <f t="shared" si="4"/>
        <v>33</v>
      </c>
      <c r="I19" s="80">
        <f t="shared" si="4"/>
        <v>34</v>
      </c>
      <c r="J19" s="80">
        <f t="shared" si="4"/>
        <v>35</v>
      </c>
      <c r="K19" s="80">
        <f t="shared" si="4"/>
        <v>36</v>
      </c>
      <c r="L19" s="80">
        <f t="shared" si="4"/>
        <v>37</v>
      </c>
      <c r="M19" s="80">
        <f>L19+1</f>
        <v>38</v>
      </c>
      <c r="N19" s="80">
        <f>M19+1</f>
        <v>39</v>
      </c>
      <c r="O19" s="44" t="str">
        <f>O3</f>
        <v>Q3 Cum</v>
      </c>
      <c r="P19" s="41" t="s">
        <v>12</v>
      </c>
      <c r="Q19" s="52" t="str">
        <f>Q3</f>
        <v>CQ4 Goal</v>
      </c>
    </row>
    <row r="20" spans="1:17">
      <c r="A20" s="33" t="s">
        <v>22</v>
      </c>
      <c r="B20" s="49">
        <f>B12</f>
        <v>40914</v>
      </c>
      <c r="C20" s="49">
        <f t="shared" ref="C20:L20" si="5">+B20+7</f>
        <v>40921</v>
      </c>
      <c r="D20" s="49">
        <f t="shared" si="5"/>
        <v>40928</v>
      </c>
      <c r="E20" s="49">
        <f t="shared" si="5"/>
        <v>40935</v>
      </c>
      <c r="F20" s="49">
        <f t="shared" si="5"/>
        <v>40942</v>
      </c>
      <c r="G20" s="49">
        <f t="shared" si="5"/>
        <v>40949</v>
      </c>
      <c r="H20" s="49">
        <f t="shared" si="5"/>
        <v>40956</v>
      </c>
      <c r="I20" s="49">
        <f t="shared" si="5"/>
        <v>40963</v>
      </c>
      <c r="J20" s="49">
        <f t="shared" si="5"/>
        <v>40970</v>
      </c>
      <c r="K20" s="49">
        <f t="shared" si="5"/>
        <v>40977</v>
      </c>
      <c r="L20" s="49">
        <f t="shared" si="5"/>
        <v>40984</v>
      </c>
      <c r="M20" s="49">
        <f>+L20+7</f>
        <v>40991</v>
      </c>
      <c r="N20" s="49">
        <f>+M20+7</f>
        <v>40998</v>
      </c>
      <c r="O20" s="34"/>
      <c r="P20" s="34"/>
      <c r="Q20" s="34"/>
    </row>
    <row r="21" spans="1:17">
      <c r="A21" s="33" t="s">
        <v>13</v>
      </c>
      <c r="B21" s="27" t="e">
        <f>B23/B22</f>
        <v>#DIV/0!</v>
      </c>
      <c r="C21" s="29" t="e">
        <f t="shared" ref="C21:O21" si="6">C23/C22</f>
        <v>#DIV/0!</v>
      </c>
      <c r="D21" s="29" t="e">
        <f t="shared" si="6"/>
        <v>#DIV/0!</v>
      </c>
      <c r="E21" s="29" t="e">
        <f t="shared" si="6"/>
        <v>#DIV/0!</v>
      </c>
      <c r="F21" s="29" t="e">
        <f t="shared" si="6"/>
        <v>#DIV/0!</v>
      </c>
      <c r="G21" s="29" t="e">
        <f t="shared" si="6"/>
        <v>#DIV/0!</v>
      </c>
      <c r="H21" s="29" t="e">
        <f t="shared" si="6"/>
        <v>#DIV/0!</v>
      </c>
      <c r="I21" s="29" t="e">
        <f t="shared" si="6"/>
        <v>#DIV/0!</v>
      </c>
      <c r="J21" s="29">
        <f t="shared" si="6"/>
        <v>1</v>
      </c>
      <c r="K21" s="29">
        <f t="shared" si="6"/>
        <v>1</v>
      </c>
      <c r="L21" s="29">
        <f t="shared" si="6"/>
        <v>1</v>
      </c>
      <c r="M21" s="29">
        <f>M23/M22</f>
        <v>1</v>
      </c>
      <c r="N21" s="29">
        <f>N23/N22</f>
        <v>0.97672794973237143</v>
      </c>
      <c r="O21" s="27">
        <f t="shared" si="6"/>
        <v>0.98852842655898687</v>
      </c>
      <c r="P21" s="27">
        <v>0.98</v>
      </c>
      <c r="Q21" s="27" t="s">
        <v>90</v>
      </c>
    </row>
    <row r="22" spans="1:17">
      <c r="A22" s="33" t="s">
        <v>14</v>
      </c>
      <c r="B22" s="264">
        <v>0</v>
      </c>
      <c r="C22" s="264">
        <v>0</v>
      </c>
      <c r="D22" s="264">
        <v>0</v>
      </c>
      <c r="E22" s="264">
        <v>0</v>
      </c>
      <c r="F22" s="264">
        <v>0</v>
      </c>
      <c r="G22" s="264">
        <v>0</v>
      </c>
      <c r="H22" s="264">
        <v>0</v>
      </c>
      <c r="I22" s="264">
        <v>0</v>
      </c>
      <c r="J22" s="264">
        <v>100000</v>
      </c>
      <c r="K22" s="264">
        <v>400000</v>
      </c>
      <c r="L22" s="264">
        <v>702100</v>
      </c>
      <c r="M22" s="264">
        <v>1008000</v>
      </c>
      <c r="N22" s="264">
        <v>2148500</v>
      </c>
      <c r="O22" s="263">
        <f>SUM(B22:N22)</f>
        <v>4358600</v>
      </c>
      <c r="P22" s="40"/>
      <c r="Q22" s="40"/>
    </row>
    <row r="23" spans="1:17">
      <c r="A23" s="33" t="s">
        <v>72</v>
      </c>
      <c r="B23" s="262">
        <v>0</v>
      </c>
      <c r="C23" s="262">
        <v>0</v>
      </c>
      <c r="D23" s="262">
        <v>0</v>
      </c>
      <c r="E23" s="262">
        <v>0</v>
      </c>
      <c r="F23" s="262">
        <v>0</v>
      </c>
      <c r="G23" s="262">
        <v>0</v>
      </c>
      <c r="H23" s="262">
        <v>0</v>
      </c>
      <c r="I23" s="262">
        <v>0</v>
      </c>
      <c r="J23" s="262">
        <v>100000</v>
      </c>
      <c r="K23" s="262">
        <v>400000</v>
      </c>
      <c r="L23" s="262">
        <v>702100</v>
      </c>
      <c r="M23" s="262">
        <v>1008000</v>
      </c>
      <c r="N23" s="262">
        <v>2098500</v>
      </c>
      <c r="O23" s="263">
        <f>SUM(B23:N23)</f>
        <v>4308600</v>
      </c>
      <c r="P23" s="33"/>
    </row>
    <row r="25" spans="1:17" ht="18">
      <c r="A25" s="184" t="s">
        <v>37</v>
      </c>
      <c r="B25" s="185"/>
      <c r="C25" s="185"/>
    </row>
    <row r="26" spans="1:17">
      <c r="B26" s="129"/>
      <c r="C26" s="129"/>
      <c r="D26" s="129"/>
      <c r="E26" s="129"/>
      <c r="F26" s="129"/>
      <c r="G26" s="129"/>
      <c r="H26" s="129"/>
      <c r="I26" s="129"/>
    </row>
    <row r="27" spans="1:17" s="32" customFormat="1">
      <c r="A27" s="31" t="s">
        <v>34</v>
      </c>
      <c r="B27" s="80">
        <f>B19</f>
        <v>27</v>
      </c>
      <c r="C27" s="80">
        <f>B27+1</f>
        <v>28</v>
      </c>
      <c r="D27" s="80">
        <f t="shared" ref="D27:L27" si="7">C27+1</f>
        <v>29</v>
      </c>
      <c r="E27" s="80">
        <f t="shared" si="7"/>
        <v>30</v>
      </c>
      <c r="F27" s="80">
        <f t="shared" si="7"/>
        <v>31</v>
      </c>
      <c r="G27" s="80">
        <f t="shared" si="7"/>
        <v>32</v>
      </c>
      <c r="H27" s="80">
        <f t="shared" si="7"/>
        <v>33</v>
      </c>
      <c r="I27" s="80">
        <f t="shared" si="7"/>
        <v>34</v>
      </c>
      <c r="J27" s="80">
        <f t="shared" si="7"/>
        <v>35</v>
      </c>
      <c r="K27" s="80">
        <f t="shared" si="7"/>
        <v>36</v>
      </c>
      <c r="L27" s="80">
        <f t="shared" si="7"/>
        <v>37</v>
      </c>
      <c r="M27" s="80">
        <f>L27+1</f>
        <v>38</v>
      </c>
      <c r="N27" s="80">
        <f>M27+1</f>
        <v>39</v>
      </c>
      <c r="O27" s="44" t="str">
        <f>O3</f>
        <v>Q3 Cum</v>
      </c>
      <c r="P27" s="41" t="s">
        <v>12</v>
      </c>
      <c r="Q27" s="52" t="str">
        <f>Q3</f>
        <v>CQ4 Goal</v>
      </c>
    </row>
    <row r="28" spans="1:17">
      <c r="A28" s="33" t="s">
        <v>22</v>
      </c>
      <c r="B28" s="49">
        <f>B20</f>
        <v>40914</v>
      </c>
      <c r="C28" s="49">
        <f t="shared" ref="C28:L28" si="8">+B28+7</f>
        <v>40921</v>
      </c>
      <c r="D28" s="49">
        <f t="shared" si="8"/>
        <v>40928</v>
      </c>
      <c r="E28" s="49">
        <f t="shared" si="8"/>
        <v>40935</v>
      </c>
      <c r="F28" s="49">
        <f t="shared" si="8"/>
        <v>40942</v>
      </c>
      <c r="G28" s="49">
        <f t="shared" si="8"/>
        <v>40949</v>
      </c>
      <c r="H28" s="49">
        <f t="shared" si="8"/>
        <v>40956</v>
      </c>
      <c r="I28" s="49">
        <f t="shared" si="8"/>
        <v>40963</v>
      </c>
      <c r="J28" s="49">
        <f t="shared" si="8"/>
        <v>40970</v>
      </c>
      <c r="K28" s="49">
        <f t="shared" si="8"/>
        <v>40977</v>
      </c>
      <c r="L28" s="49">
        <f t="shared" si="8"/>
        <v>40984</v>
      </c>
      <c r="M28" s="49">
        <f>+L28+7</f>
        <v>40991</v>
      </c>
      <c r="N28" s="49">
        <f>+M28+7</f>
        <v>40998</v>
      </c>
      <c r="O28" s="34"/>
      <c r="P28" s="34"/>
      <c r="Q28" s="34"/>
    </row>
    <row r="29" spans="1:17">
      <c r="A29" s="33" t="s">
        <v>13</v>
      </c>
      <c r="B29" s="29" t="e">
        <f>B31/B30</f>
        <v>#DIV/0!</v>
      </c>
      <c r="C29" s="29" t="e">
        <f t="shared" ref="C29:O29" si="9">C31/C30</f>
        <v>#DIV/0!</v>
      </c>
      <c r="D29" s="29" t="e">
        <f t="shared" si="9"/>
        <v>#DIV/0!</v>
      </c>
      <c r="E29" s="29" t="e">
        <f t="shared" si="9"/>
        <v>#DIV/0!</v>
      </c>
      <c r="F29" s="29" t="e">
        <f t="shared" si="9"/>
        <v>#DIV/0!</v>
      </c>
      <c r="G29" s="29">
        <f>G31/G30</f>
        <v>0.97560558621013327</v>
      </c>
      <c r="H29" s="29">
        <f t="shared" si="9"/>
        <v>0.93912253374870203</v>
      </c>
      <c r="I29" s="29">
        <f t="shared" si="9"/>
        <v>0.77755105987931306</v>
      </c>
      <c r="J29" s="29">
        <f t="shared" si="9"/>
        <v>0.93466718758608947</v>
      </c>
      <c r="K29" s="29">
        <f t="shared" si="9"/>
        <v>0.98794035756561949</v>
      </c>
      <c r="L29" s="29">
        <f t="shared" si="9"/>
        <v>0.99173108972763324</v>
      </c>
      <c r="M29" s="29">
        <f>M31/M30</f>
        <v>0.98691652114988659</v>
      </c>
      <c r="N29" s="29">
        <f>N31/N30</f>
        <v>0.9673306949221121</v>
      </c>
      <c r="O29" s="27">
        <f t="shared" si="9"/>
        <v>0.95562219729602726</v>
      </c>
      <c r="P29" s="27">
        <v>0.98299999999999998</v>
      </c>
      <c r="Q29" s="27" t="s">
        <v>90</v>
      </c>
    </row>
    <row r="30" spans="1:17">
      <c r="A30" s="33" t="s">
        <v>14</v>
      </c>
      <c r="B30" s="268">
        <v>0</v>
      </c>
      <c r="C30" s="268">
        <v>0</v>
      </c>
      <c r="D30" s="268">
        <v>0</v>
      </c>
      <c r="E30" s="268">
        <v>0</v>
      </c>
      <c r="F30" s="268">
        <v>0</v>
      </c>
      <c r="G30" s="268">
        <v>298306</v>
      </c>
      <c r="H30" s="268">
        <v>292752</v>
      </c>
      <c r="I30" s="268">
        <v>206816</v>
      </c>
      <c r="J30" s="268">
        <v>399294</v>
      </c>
      <c r="K30" s="268">
        <v>179939</v>
      </c>
      <c r="L30" s="268">
        <v>421821</v>
      </c>
      <c r="M30" s="268">
        <v>498797</v>
      </c>
      <c r="N30" s="268">
        <v>632704</v>
      </c>
      <c r="O30" s="263">
        <f>SUM(B30:N30)</f>
        <v>2930429</v>
      </c>
      <c r="P30" s="40"/>
      <c r="Q30" s="40"/>
    </row>
    <row r="31" spans="1:17">
      <c r="A31" s="33" t="s">
        <v>72</v>
      </c>
      <c r="B31" s="262">
        <v>0</v>
      </c>
      <c r="C31" s="262">
        <v>0</v>
      </c>
      <c r="D31" s="262">
        <v>0</v>
      </c>
      <c r="E31" s="262">
        <v>0</v>
      </c>
      <c r="F31" s="262">
        <v>0</v>
      </c>
      <c r="G31" s="262">
        <v>291029</v>
      </c>
      <c r="H31" s="262">
        <v>274930</v>
      </c>
      <c r="I31" s="262">
        <v>160810</v>
      </c>
      <c r="J31" s="262">
        <v>373207</v>
      </c>
      <c r="K31" s="262">
        <v>177769</v>
      </c>
      <c r="L31" s="262">
        <v>418333</v>
      </c>
      <c r="M31" s="262">
        <v>492271</v>
      </c>
      <c r="N31" s="262">
        <v>612034</v>
      </c>
      <c r="O31" s="263">
        <f>SUM(B31:N31)</f>
        <v>2800383</v>
      </c>
      <c r="P31" s="33"/>
    </row>
    <row r="33" spans="1:18" ht="18">
      <c r="A33" s="184" t="s">
        <v>73</v>
      </c>
      <c r="B33" s="185"/>
      <c r="C33" s="185"/>
    </row>
    <row r="35" spans="1:18" s="32" customFormat="1">
      <c r="A35" s="31" t="s">
        <v>34</v>
      </c>
      <c r="B35" s="80">
        <f>B27</f>
        <v>27</v>
      </c>
      <c r="C35" s="80">
        <f>B35+1</f>
        <v>28</v>
      </c>
      <c r="D35" s="80">
        <f t="shared" ref="D35:L35" si="10">C35+1</f>
        <v>29</v>
      </c>
      <c r="E35" s="80">
        <f t="shared" si="10"/>
        <v>30</v>
      </c>
      <c r="F35" s="80">
        <f t="shared" si="10"/>
        <v>31</v>
      </c>
      <c r="G35" s="80">
        <f t="shared" si="10"/>
        <v>32</v>
      </c>
      <c r="H35" s="80">
        <f t="shared" si="10"/>
        <v>33</v>
      </c>
      <c r="I35" s="80">
        <f t="shared" si="10"/>
        <v>34</v>
      </c>
      <c r="J35" s="80">
        <f t="shared" si="10"/>
        <v>35</v>
      </c>
      <c r="K35" s="80">
        <f t="shared" si="10"/>
        <v>36</v>
      </c>
      <c r="L35" s="80">
        <f t="shared" si="10"/>
        <v>37</v>
      </c>
      <c r="M35" s="80">
        <f>L35+1</f>
        <v>38</v>
      </c>
      <c r="N35" s="80">
        <f>M35+1</f>
        <v>39</v>
      </c>
      <c r="O35" s="44" t="str">
        <f>O3</f>
        <v>Q3 Cum</v>
      </c>
      <c r="P35" s="41" t="s">
        <v>12</v>
      </c>
      <c r="Q35" s="52" t="str">
        <f>Q3</f>
        <v>CQ4 Goal</v>
      </c>
    </row>
    <row r="36" spans="1:18">
      <c r="A36" s="33" t="s">
        <v>22</v>
      </c>
      <c r="B36" s="49">
        <f>B28</f>
        <v>40914</v>
      </c>
      <c r="C36" s="49">
        <f t="shared" ref="C36:L36" si="11">+B36+7</f>
        <v>40921</v>
      </c>
      <c r="D36" s="49">
        <f t="shared" si="11"/>
        <v>40928</v>
      </c>
      <c r="E36" s="49">
        <f t="shared" si="11"/>
        <v>40935</v>
      </c>
      <c r="F36" s="49">
        <f t="shared" si="11"/>
        <v>40942</v>
      </c>
      <c r="G36" s="49">
        <f t="shared" si="11"/>
        <v>40949</v>
      </c>
      <c r="H36" s="49">
        <f t="shared" si="11"/>
        <v>40956</v>
      </c>
      <c r="I36" s="49">
        <f t="shared" si="11"/>
        <v>40963</v>
      </c>
      <c r="J36" s="49">
        <f t="shared" si="11"/>
        <v>40970</v>
      </c>
      <c r="K36" s="49">
        <f t="shared" si="11"/>
        <v>40977</v>
      </c>
      <c r="L36" s="49">
        <f t="shared" si="11"/>
        <v>40984</v>
      </c>
      <c r="M36" s="49">
        <f>+L36+7</f>
        <v>40991</v>
      </c>
      <c r="N36" s="49">
        <f>+M36+7</f>
        <v>40998</v>
      </c>
      <c r="O36" s="34"/>
      <c r="P36" s="34"/>
      <c r="Q36" s="34"/>
    </row>
    <row r="37" spans="1:18">
      <c r="A37" s="33" t="s">
        <v>13</v>
      </c>
      <c r="B37" s="27">
        <f t="shared" ref="B37:L37" si="12">B39/B38</f>
        <v>0.97554978571652018</v>
      </c>
      <c r="C37" s="27">
        <f t="shared" si="12"/>
        <v>0.97945579311003828</v>
      </c>
      <c r="D37" s="27">
        <f t="shared" si="12"/>
        <v>0.98948808830989909</v>
      </c>
      <c r="E37" s="27">
        <f t="shared" si="12"/>
        <v>0.99877305194175836</v>
      </c>
      <c r="F37" s="27">
        <f t="shared" si="12"/>
        <v>0.9700450488016048</v>
      </c>
      <c r="G37" s="27">
        <f t="shared" si="12"/>
        <v>0.98595523019625508</v>
      </c>
      <c r="H37" s="27">
        <f t="shared" si="12"/>
        <v>0.93523113810678182</v>
      </c>
      <c r="I37" s="27">
        <f t="shared" si="12"/>
        <v>0.89914441337800188</v>
      </c>
      <c r="J37" s="27">
        <f>J39/J38</f>
        <v>0.89803820036637827</v>
      </c>
      <c r="K37" s="27">
        <f t="shared" si="12"/>
        <v>0.84723212761041855</v>
      </c>
      <c r="L37" s="27">
        <f t="shared" si="12"/>
        <v>0.86579489784900143</v>
      </c>
      <c r="M37" s="27">
        <f>M39/M38</f>
        <v>0.92921257884956532</v>
      </c>
      <c r="N37" s="27">
        <f>N39/N38</f>
        <v>0.92132604924239192</v>
      </c>
      <c r="O37" s="29">
        <f>O39/O38</f>
        <v>0.91673565438912563</v>
      </c>
      <c r="P37" s="177">
        <v>0.86240000000000006</v>
      </c>
      <c r="Q37" s="27" t="s">
        <v>90</v>
      </c>
      <c r="R37" s="30" t="s">
        <v>81</v>
      </c>
    </row>
    <row r="38" spans="1:18">
      <c r="A38" s="33" t="s">
        <v>14</v>
      </c>
      <c r="B38" s="265">
        <f>SUM(B6,B14,B22,B30)</f>
        <v>799175</v>
      </c>
      <c r="C38" s="265">
        <f t="shared" ref="C38:N39" si="13">SUM(C6,C14,C22,C30)</f>
        <v>617449</v>
      </c>
      <c r="D38" s="265">
        <f t="shared" si="13"/>
        <v>1178758</v>
      </c>
      <c r="E38" s="265">
        <f t="shared" si="13"/>
        <v>1392887</v>
      </c>
      <c r="F38" s="265">
        <f t="shared" si="13"/>
        <v>1319014</v>
      </c>
      <c r="G38" s="265">
        <f t="shared" si="13"/>
        <v>1904766</v>
      </c>
      <c r="H38" s="265">
        <f t="shared" si="13"/>
        <v>1510201</v>
      </c>
      <c r="I38" s="265">
        <f t="shared" si="13"/>
        <v>2501091</v>
      </c>
      <c r="J38" s="265">
        <f t="shared" si="13"/>
        <v>3734938</v>
      </c>
      <c r="K38" s="265">
        <f t="shared" si="13"/>
        <v>3185696</v>
      </c>
      <c r="L38" s="265">
        <f t="shared" si="13"/>
        <v>5213997</v>
      </c>
      <c r="M38" s="265">
        <f>SUM(M6,M14,M22,M30)</f>
        <v>4746380</v>
      </c>
      <c r="N38" s="265">
        <f t="shared" si="13"/>
        <v>5616624</v>
      </c>
      <c r="O38" s="265">
        <f>SUM(B38:N38)</f>
        <v>33720976</v>
      </c>
      <c r="P38" s="90"/>
      <c r="Q38" s="40">
        <f>+SUM(Q30,Q22,Q14,Q6)</f>
        <v>0</v>
      </c>
      <c r="R38" s="30" t="s">
        <v>80</v>
      </c>
    </row>
    <row r="39" spans="1:18">
      <c r="A39" s="33" t="s">
        <v>72</v>
      </c>
      <c r="B39" s="265">
        <f>SUM(B7,B15,B23,B31)</f>
        <v>779635</v>
      </c>
      <c r="C39" s="265">
        <f t="shared" si="13"/>
        <v>604764</v>
      </c>
      <c r="D39" s="265">
        <f t="shared" si="13"/>
        <v>1166367</v>
      </c>
      <c r="E39" s="265">
        <f t="shared" si="13"/>
        <v>1391178</v>
      </c>
      <c r="F39" s="265">
        <f t="shared" si="13"/>
        <v>1279503</v>
      </c>
      <c r="G39" s="265">
        <f t="shared" si="13"/>
        <v>1878014</v>
      </c>
      <c r="H39" s="265">
        <f t="shared" si="13"/>
        <v>1412387</v>
      </c>
      <c r="I39" s="265">
        <f t="shared" si="13"/>
        <v>2248842</v>
      </c>
      <c r="J39" s="265">
        <f t="shared" si="13"/>
        <v>3354117</v>
      </c>
      <c r="K39" s="265">
        <f t="shared" si="13"/>
        <v>2699024</v>
      </c>
      <c r="L39" s="265">
        <f t="shared" si="13"/>
        <v>4514252</v>
      </c>
      <c r="M39" s="265">
        <f>SUM(M7,M15,M23,M31)</f>
        <v>4410396</v>
      </c>
      <c r="N39" s="265">
        <f t="shared" si="13"/>
        <v>5174742</v>
      </c>
      <c r="O39" s="265">
        <f>SUM(B39:N39)</f>
        <v>30913221</v>
      </c>
      <c r="P39" s="33"/>
    </row>
    <row r="43" spans="1:18">
      <c r="C43" s="36"/>
    </row>
  </sheetData>
  <phoneticPr fontId="12" type="noConversion"/>
  <conditionalFormatting sqref="J13">
    <cfRule type="cellIs" dxfId="1" priority="2" stopIfTrue="1" operator="greaterThan">
      <formula>100</formula>
    </cfRule>
  </conditionalFormatting>
  <conditionalFormatting sqref="B5:Q39">
    <cfRule type="containsErrors" dxfId="0" priority="1" stopIfTrue="1">
      <formula>ISERROR(B5)</formula>
    </cfRule>
  </conditionalFormatting>
  <hyperlinks>
    <hyperlink ref="A2" location="'Exec Summary, Metric Goals'!A1" display="Back"/>
  </hyperlinks>
  <pageMargins left="0.75" right="0.75" top="1" bottom="1" header="0.5" footer="0.5"/>
  <pageSetup paperSize="9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1"/>
  <dimension ref="A1:C102"/>
  <sheetViews>
    <sheetView showGridLines="0" workbookViewId="0">
      <selection activeCell="E18" sqref="E18"/>
    </sheetView>
  </sheetViews>
  <sheetFormatPr defaultRowHeight="12.75"/>
  <cols>
    <col min="1" max="1" width="10.28515625" customWidth="1"/>
    <col min="2" max="2" width="26.5703125" customWidth="1"/>
    <col min="3" max="3" width="13.42578125" customWidth="1"/>
  </cols>
  <sheetData>
    <row r="1" spans="1:3">
      <c r="A1" s="85" t="s">
        <v>18</v>
      </c>
      <c r="B1" s="85" t="s">
        <v>110</v>
      </c>
    </row>
    <row r="2" spans="1:3">
      <c r="A2" s="10">
        <v>40909</v>
      </c>
      <c r="B2" s="114">
        <v>0</v>
      </c>
    </row>
    <row r="3" spans="1:3">
      <c r="A3" s="10">
        <v>40940</v>
      </c>
      <c r="B3" s="114">
        <v>0</v>
      </c>
    </row>
    <row r="4" spans="1:3">
      <c r="A4" s="10">
        <v>40969</v>
      </c>
      <c r="B4" s="114">
        <v>0</v>
      </c>
    </row>
    <row r="5" spans="1:3" s="7" customFormat="1">
      <c r="A5" s="86" t="s">
        <v>16</v>
      </c>
      <c r="B5" s="115">
        <f>SUM(B2:B4)</f>
        <v>0</v>
      </c>
      <c r="C5" s="87"/>
    </row>
    <row r="6" spans="1:3" s="7" customFormat="1">
      <c r="A6" s="86" t="s">
        <v>23</v>
      </c>
      <c r="B6" s="115">
        <v>0</v>
      </c>
      <c r="C6" s="87"/>
    </row>
    <row r="7" spans="1:3">
      <c r="A7" s="10"/>
      <c r="B7" s="114"/>
      <c r="C7" s="6"/>
    </row>
    <row r="8" spans="1:3">
      <c r="A8" s="10">
        <v>41000</v>
      </c>
      <c r="B8" s="114"/>
    </row>
    <row r="9" spans="1:3">
      <c r="A9" s="10">
        <v>41030</v>
      </c>
      <c r="B9" s="114"/>
    </row>
    <row r="10" spans="1:3">
      <c r="A10" s="10">
        <v>41061</v>
      </c>
      <c r="B10" s="114"/>
    </row>
    <row r="11" spans="1:3" s="7" customFormat="1">
      <c r="A11" s="85" t="s">
        <v>15</v>
      </c>
      <c r="B11" s="115">
        <f>SUM(B8:B10)</f>
        <v>0</v>
      </c>
      <c r="C11" s="87"/>
    </row>
    <row r="12" spans="1:3" s="7" customFormat="1">
      <c r="A12" s="85" t="s">
        <v>23</v>
      </c>
      <c r="B12" s="115">
        <v>0</v>
      </c>
      <c r="C12" s="87"/>
    </row>
    <row r="13" spans="1:3">
      <c r="B13" s="114"/>
      <c r="C13" s="6"/>
    </row>
    <row r="14" spans="1:3">
      <c r="A14" s="10">
        <v>41091</v>
      </c>
      <c r="B14" s="114"/>
      <c r="C14" s="6"/>
    </row>
    <row r="15" spans="1:3">
      <c r="A15" s="10">
        <v>41122</v>
      </c>
      <c r="B15" s="114"/>
      <c r="C15" s="6"/>
    </row>
    <row r="16" spans="1:3">
      <c r="A16" s="10">
        <v>41153</v>
      </c>
      <c r="B16" s="114"/>
      <c r="C16" s="6"/>
    </row>
    <row r="17" spans="1:3" s="7" customFormat="1">
      <c r="A17" s="85" t="s">
        <v>17</v>
      </c>
      <c r="B17" s="115">
        <f>SUM(B14:B16)</f>
        <v>0</v>
      </c>
      <c r="C17" s="87"/>
    </row>
    <row r="18" spans="1:3" s="7" customFormat="1">
      <c r="A18" s="86" t="s">
        <v>23</v>
      </c>
      <c r="B18" s="115">
        <v>0</v>
      </c>
    </row>
    <row r="19" spans="1:3">
      <c r="A19" s="10"/>
      <c r="B19" s="114"/>
    </row>
    <row r="20" spans="1:3">
      <c r="A20" s="10">
        <v>41183</v>
      </c>
      <c r="B20" s="114"/>
    </row>
    <row r="21" spans="1:3">
      <c r="A21" s="10">
        <v>41214</v>
      </c>
      <c r="B21" s="114"/>
    </row>
    <row r="22" spans="1:3">
      <c r="A22" s="10">
        <v>41244</v>
      </c>
      <c r="B22" s="114"/>
    </row>
    <row r="23" spans="1:3" s="7" customFormat="1">
      <c r="A23" s="85" t="s">
        <v>20</v>
      </c>
      <c r="B23" s="115">
        <f>SUM(B20:B22)</f>
        <v>0</v>
      </c>
    </row>
    <row r="24" spans="1:3" s="7" customFormat="1">
      <c r="A24" s="86" t="s">
        <v>23</v>
      </c>
      <c r="B24" s="115">
        <v>0</v>
      </c>
    </row>
    <row r="25" spans="1:3">
      <c r="A25" s="10"/>
      <c r="B25" s="12"/>
    </row>
    <row r="26" spans="1:3">
      <c r="A26" s="10"/>
      <c r="B26" s="13"/>
    </row>
    <row r="27" spans="1:3">
      <c r="A27" s="10"/>
      <c r="B27" s="13"/>
    </row>
    <row r="28" spans="1:3">
      <c r="A28" s="10"/>
      <c r="B28" s="13"/>
    </row>
    <row r="29" spans="1:3">
      <c r="B29" s="12"/>
    </row>
    <row r="30" spans="1:3">
      <c r="A30" s="10"/>
      <c r="B30" s="12"/>
    </row>
    <row r="31" spans="1:3">
      <c r="A31" s="10"/>
      <c r="B31" s="12"/>
    </row>
    <row r="32" spans="1:3">
      <c r="A32" s="10"/>
      <c r="B32" s="13"/>
    </row>
    <row r="33" spans="1:2">
      <c r="A33" s="10"/>
      <c r="B33" s="13"/>
    </row>
    <row r="34" spans="1:2">
      <c r="A34" s="10"/>
      <c r="B34" s="13"/>
    </row>
    <row r="35" spans="1:2">
      <c r="B35" s="12"/>
    </row>
    <row r="36" spans="1:2">
      <c r="A36" s="10"/>
      <c r="B36" s="12"/>
    </row>
    <row r="37" spans="1:2">
      <c r="A37" s="10"/>
      <c r="B37" s="12"/>
    </row>
    <row r="38" spans="1:2">
      <c r="A38" s="10"/>
      <c r="B38" s="13"/>
    </row>
    <row r="39" spans="1:2">
      <c r="A39" s="10"/>
      <c r="B39" s="13"/>
    </row>
    <row r="40" spans="1:2">
      <c r="A40" s="10"/>
      <c r="B40" s="13"/>
    </row>
    <row r="41" spans="1:2">
      <c r="B41" s="12"/>
    </row>
    <row r="42" spans="1:2">
      <c r="A42" s="10"/>
      <c r="B42" s="12"/>
    </row>
    <row r="44" spans="1:2">
      <c r="A44" s="10"/>
      <c r="B44" s="13"/>
    </row>
    <row r="45" spans="1:2">
      <c r="A45" s="10"/>
      <c r="B45" s="13"/>
    </row>
    <row r="46" spans="1:2">
      <c r="A46" s="10"/>
      <c r="B46" s="13"/>
    </row>
    <row r="47" spans="1:2">
      <c r="B47" s="12"/>
    </row>
    <row r="48" spans="1:2">
      <c r="A48" s="10"/>
      <c r="B48" s="12"/>
    </row>
    <row r="50" spans="1:2">
      <c r="A50" s="10"/>
      <c r="B50" s="13"/>
    </row>
    <row r="51" spans="1:2">
      <c r="A51" s="10"/>
      <c r="B51" s="13"/>
    </row>
    <row r="52" spans="1:2">
      <c r="A52" s="10"/>
      <c r="B52" s="13"/>
    </row>
    <row r="53" spans="1:2">
      <c r="B53" s="12"/>
    </row>
    <row r="54" spans="1:2">
      <c r="A54" s="10"/>
      <c r="B54" s="12"/>
    </row>
    <row r="56" spans="1:2">
      <c r="A56" s="10"/>
      <c r="B56" s="13"/>
    </row>
    <row r="57" spans="1:2">
      <c r="A57" s="10"/>
      <c r="B57" s="13"/>
    </row>
    <row r="58" spans="1:2">
      <c r="A58" s="10"/>
      <c r="B58" s="13"/>
    </row>
    <row r="59" spans="1:2">
      <c r="B59" s="12"/>
    </row>
    <row r="60" spans="1:2">
      <c r="A60" s="10"/>
      <c r="B60" s="12"/>
    </row>
    <row r="62" spans="1:2">
      <c r="A62" s="10"/>
      <c r="B62" s="13"/>
    </row>
    <row r="63" spans="1:2">
      <c r="A63" s="10"/>
      <c r="B63" s="13"/>
    </row>
    <row r="64" spans="1:2">
      <c r="A64" s="10"/>
      <c r="B64" s="13"/>
    </row>
    <row r="65" spans="1:2">
      <c r="B65" s="12"/>
    </row>
    <row r="66" spans="1:2">
      <c r="A66" s="10"/>
      <c r="B66" s="12"/>
    </row>
    <row r="68" spans="1:2">
      <c r="A68" s="10"/>
      <c r="B68" s="13"/>
    </row>
    <row r="69" spans="1:2">
      <c r="A69" s="10"/>
      <c r="B69" s="13"/>
    </row>
    <row r="70" spans="1:2">
      <c r="A70" s="10"/>
      <c r="B70" s="13"/>
    </row>
    <row r="71" spans="1:2">
      <c r="B71" s="12"/>
    </row>
    <row r="72" spans="1:2">
      <c r="A72" s="10"/>
      <c r="B72" s="12"/>
    </row>
    <row r="74" spans="1:2">
      <c r="A74" s="10"/>
      <c r="B74" s="13"/>
    </row>
    <row r="75" spans="1:2">
      <c r="A75" s="10"/>
      <c r="B75" s="13"/>
    </row>
    <row r="76" spans="1:2">
      <c r="A76" s="10"/>
      <c r="B76" s="13"/>
    </row>
    <row r="77" spans="1:2">
      <c r="B77" s="12"/>
    </row>
    <row r="78" spans="1:2">
      <c r="A78" s="10"/>
      <c r="B78" s="12"/>
    </row>
    <row r="80" spans="1:2">
      <c r="A80" s="10"/>
      <c r="B80" s="13"/>
    </row>
    <row r="81" spans="1:2">
      <c r="A81" s="10"/>
      <c r="B81" s="13"/>
    </row>
    <row r="82" spans="1:2">
      <c r="A82" s="10"/>
      <c r="B82" s="13"/>
    </row>
    <row r="83" spans="1:2">
      <c r="B83" s="12"/>
    </row>
    <row r="84" spans="1:2">
      <c r="A84" s="10"/>
      <c r="B84" s="12"/>
    </row>
    <row r="86" spans="1:2">
      <c r="A86" s="10"/>
      <c r="B86" s="13"/>
    </row>
    <row r="87" spans="1:2">
      <c r="A87" s="10"/>
      <c r="B87" s="13"/>
    </row>
    <row r="88" spans="1:2">
      <c r="A88" s="10"/>
      <c r="B88" s="13"/>
    </row>
    <row r="89" spans="1:2">
      <c r="B89" s="12"/>
    </row>
    <row r="90" spans="1:2">
      <c r="A90" s="10"/>
      <c r="B90" s="12"/>
    </row>
    <row r="92" spans="1:2">
      <c r="A92" s="10"/>
      <c r="B92" s="13"/>
    </row>
    <row r="93" spans="1:2">
      <c r="A93" s="10"/>
      <c r="B93" s="13"/>
    </row>
    <row r="94" spans="1:2">
      <c r="A94" s="10"/>
      <c r="B94" s="13"/>
    </row>
    <row r="95" spans="1:2">
      <c r="B95" s="12"/>
    </row>
    <row r="96" spans="1:2">
      <c r="A96" s="10"/>
      <c r="B96" s="12"/>
    </row>
    <row r="98" spans="1:2">
      <c r="A98" s="10"/>
      <c r="B98" s="13"/>
    </row>
    <row r="99" spans="1:2">
      <c r="A99" s="10"/>
      <c r="B99" s="13"/>
    </row>
    <row r="100" spans="1:2">
      <c r="A100" s="10"/>
      <c r="B100" s="13"/>
    </row>
    <row r="101" spans="1:2">
      <c r="B101" s="12"/>
    </row>
    <row r="102" spans="1:2">
      <c r="A102" s="10"/>
      <c r="B102" s="12"/>
    </row>
  </sheetData>
  <phoneticPr fontId="0" type="noConversion"/>
  <pageMargins left="0.75" right="0.75" top="1" bottom="1" header="0.5" footer="0.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3"/>
  <dimension ref="A1:P189"/>
  <sheetViews>
    <sheetView zoomScale="80" workbookViewId="0">
      <selection activeCell="E23" sqref="E23"/>
    </sheetView>
  </sheetViews>
  <sheetFormatPr defaultColWidth="8.85546875" defaultRowHeight="12"/>
  <cols>
    <col min="1" max="1" width="36.5703125" style="194" customWidth="1"/>
    <col min="2" max="2" width="13" style="194" customWidth="1"/>
    <col min="3" max="4" width="11.7109375" style="194" customWidth="1"/>
    <col min="5" max="5" width="11.85546875" style="194" customWidth="1"/>
    <col min="6" max="13" width="11.7109375" style="194" customWidth="1"/>
    <col min="14" max="14" width="14.85546875" style="194" bestFit="1" customWidth="1"/>
    <col min="15" max="16384" width="8.85546875" style="194"/>
  </cols>
  <sheetData>
    <row r="1" spans="1:16" ht="18.75" thickBot="1">
      <c r="A1" s="192" t="s">
        <v>168</v>
      </c>
      <c r="B1" s="279" t="s">
        <v>167</v>
      </c>
      <c r="C1" s="280"/>
      <c r="D1" s="280"/>
      <c r="E1" s="280"/>
      <c r="F1" s="280"/>
      <c r="G1" s="280"/>
      <c r="H1" s="280"/>
      <c r="I1" s="280"/>
      <c r="J1" s="280"/>
      <c r="K1" s="281"/>
      <c r="L1" s="282" t="s">
        <v>118</v>
      </c>
      <c r="M1" s="283"/>
      <c r="N1" s="193">
        <v>30</v>
      </c>
    </row>
    <row r="2" spans="1:16" ht="12.75" thickBot="1">
      <c r="A2" s="195"/>
      <c r="B2" s="196" t="s">
        <v>117</v>
      </c>
      <c r="C2" s="197" t="s">
        <v>119</v>
      </c>
      <c r="D2" s="197" t="s">
        <v>120</v>
      </c>
      <c r="E2" s="197" t="s">
        <v>121</v>
      </c>
      <c r="F2" s="197" t="s">
        <v>122</v>
      </c>
      <c r="G2" s="197" t="s">
        <v>123</v>
      </c>
      <c r="H2" s="197" t="s">
        <v>124</v>
      </c>
      <c r="I2" s="197" t="s">
        <v>125</v>
      </c>
      <c r="J2" s="197" t="s">
        <v>126</v>
      </c>
      <c r="K2" s="197" t="s">
        <v>127</v>
      </c>
      <c r="L2" s="197" t="s">
        <v>128</v>
      </c>
      <c r="M2" s="197" t="s">
        <v>129</v>
      </c>
      <c r="N2" s="198" t="s">
        <v>1</v>
      </c>
      <c r="P2" s="194" t="s">
        <v>169</v>
      </c>
    </row>
    <row r="3" spans="1:16">
      <c r="A3" s="199" t="s">
        <v>130</v>
      </c>
      <c r="B3" s="132">
        <v>0</v>
      </c>
      <c r="C3" s="132">
        <v>0</v>
      </c>
      <c r="D3" s="132">
        <v>0</v>
      </c>
      <c r="E3" s="132">
        <v>0</v>
      </c>
      <c r="F3" s="132">
        <v>0</v>
      </c>
      <c r="G3" s="132">
        <v>0</v>
      </c>
      <c r="H3" s="132">
        <v>1113612</v>
      </c>
      <c r="I3" s="132">
        <v>1750098</v>
      </c>
      <c r="J3" s="132">
        <v>3049036</v>
      </c>
      <c r="K3" s="132">
        <v>3001311</v>
      </c>
      <c r="L3" s="132">
        <v>3264438</v>
      </c>
      <c r="M3" s="132">
        <v>3544262</v>
      </c>
      <c r="N3" s="133">
        <f>+SUM(B3:M3)</f>
        <v>15722757</v>
      </c>
    </row>
    <row r="4" spans="1:16">
      <c r="A4" s="200" t="s">
        <v>131</v>
      </c>
      <c r="B4" s="134"/>
      <c r="C4" s="134"/>
      <c r="D4" s="134"/>
      <c r="E4" s="134"/>
      <c r="F4" s="134"/>
      <c r="G4" s="134"/>
      <c r="H4" s="145">
        <v>0.96</v>
      </c>
      <c r="I4" s="145">
        <v>0.96</v>
      </c>
      <c r="J4" s="145">
        <v>0.96</v>
      </c>
      <c r="K4" s="145">
        <v>0.97</v>
      </c>
      <c r="L4" s="145">
        <v>0.97</v>
      </c>
      <c r="M4" s="145">
        <v>0.97</v>
      </c>
      <c r="N4" s="135"/>
      <c r="O4" s="194">
        <v>2011</v>
      </c>
      <c r="P4" s="194" t="s">
        <v>170</v>
      </c>
    </row>
    <row r="5" spans="1:16">
      <c r="A5" s="201" t="s">
        <v>132</v>
      </c>
      <c r="B5" s="136"/>
      <c r="C5" s="136"/>
      <c r="D5" s="136"/>
      <c r="E5" s="136"/>
      <c r="F5" s="136"/>
      <c r="G5" s="136"/>
      <c r="H5" s="136">
        <v>4.6077898550724644E-3</v>
      </c>
      <c r="I5" s="136">
        <v>4.6077898550724644E-3</v>
      </c>
      <c r="J5" s="136">
        <v>4.6077898550724635E-3</v>
      </c>
      <c r="K5" s="136">
        <v>4.5602868668758404E-3</v>
      </c>
      <c r="L5" s="136">
        <v>4.5602868668758413E-3</v>
      </c>
      <c r="M5" s="136">
        <v>4.5602868668758404E-3</v>
      </c>
      <c r="N5" s="202"/>
      <c r="O5" s="194">
        <v>2011</v>
      </c>
      <c r="P5" s="194" t="s">
        <v>171</v>
      </c>
    </row>
    <row r="6" spans="1:16">
      <c r="A6" s="200" t="s">
        <v>133</v>
      </c>
      <c r="B6" s="137"/>
      <c r="C6" s="137"/>
      <c r="D6" s="137"/>
      <c r="E6" s="137"/>
      <c r="F6" s="137"/>
      <c r="G6" s="137"/>
      <c r="H6" s="137">
        <v>1.9565127339865877E-4</v>
      </c>
      <c r="I6" s="137">
        <v>1.9565127339866067E-4</v>
      </c>
      <c r="J6" s="137">
        <v>1.9565127339865872E-4</v>
      </c>
      <c r="K6" s="137">
        <v>1.9469096637947123E-4</v>
      </c>
      <c r="L6" s="137">
        <v>1.9469096637946974E-4</v>
      </c>
      <c r="M6" s="137">
        <v>1.9469096637947034E-4</v>
      </c>
      <c r="N6" s="135"/>
      <c r="O6" s="194">
        <v>2011</v>
      </c>
      <c r="P6" s="194" t="s">
        <v>172</v>
      </c>
    </row>
    <row r="7" spans="1:16">
      <c r="A7" s="201" t="s">
        <v>134</v>
      </c>
      <c r="B7" s="136"/>
      <c r="C7" s="136"/>
      <c r="D7" s="136"/>
      <c r="E7" s="136"/>
      <c r="F7" s="136"/>
      <c r="G7" s="136"/>
      <c r="H7" s="146">
        <v>6</v>
      </c>
      <c r="I7" s="146">
        <v>6</v>
      </c>
      <c r="J7" s="146">
        <v>10</v>
      </c>
      <c r="K7" s="146">
        <v>10</v>
      </c>
      <c r="L7" s="146">
        <v>10</v>
      </c>
      <c r="M7" s="146">
        <v>10</v>
      </c>
      <c r="N7" s="202"/>
      <c r="O7" s="194">
        <v>2011</v>
      </c>
    </row>
    <row r="8" spans="1:16" ht="12.75" thickBot="1">
      <c r="A8" s="203" t="s">
        <v>135</v>
      </c>
      <c r="B8" s="134"/>
      <c r="C8" s="134"/>
      <c r="D8" s="134"/>
      <c r="E8" s="134"/>
      <c r="F8" s="134"/>
      <c r="G8" s="134"/>
      <c r="H8" s="147">
        <v>1</v>
      </c>
      <c r="I8" s="147">
        <v>1</v>
      </c>
      <c r="J8" s="147">
        <v>1</v>
      </c>
      <c r="K8" s="147">
        <v>1</v>
      </c>
      <c r="L8" s="147">
        <v>1</v>
      </c>
      <c r="M8" s="147">
        <v>1</v>
      </c>
      <c r="N8" s="135"/>
      <c r="O8" s="194">
        <v>2011</v>
      </c>
    </row>
    <row r="9" spans="1:16">
      <c r="A9" s="201" t="s">
        <v>136</v>
      </c>
      <c r="B9" s="136"/>
      <c r="C9" s="136"/>
      <c r="D9" s="136"/>
      <c r="E9" s="136"/>
      <c r="F9" s="136"/>
      <c r="G9" s="136"/>
      <c r="H9" s="146">
        <v>4</v>
      </c>
      <c r="I9" s="146">
        <v>4</v>
      </c>
      <c r="J9" s="146">
        <v>4</v>
      </c>
      <c r="K9" s="146">
        <v>4</v>
      </c>
      <c r="L9" s="146">
        <v>4</v>
      </c>
      <c r="M9" s="146">
        <v>4</v>
      </c>
      <c r="N9" s="202"/>
      <c r="O9" s="194">
        <v>2011</v>
      </c>
    </row>
    <row r="10" spans="1:16">
      <c r="A10" s="200" t="s">
        <v>137</v>
      </c>
      <c r="B10" s="137"/>
      <c r="C10" s="137"/>
      <c r="D10" s="137"/>
      <c r="E10" s="137"/>
      <c r="F10" s="148">
        <v>2</v>
      </c>
      <c r="G10" s="148">
        <v>2</v>
      </c>
      <c r="H10" s="163">
        <v>2</v>
      </c>
      <c r="I10" s="163">
        <v>2</v>
      </c>
      <c r="J10" s="163">
        <v>2</v>
      </c>
      <c r="K10" s="163">
        <v>2</v>
      </c>
      <c r="L10" s="163">
        <v>2</v>
      </c>
      <c r="M10" s="163">
        <v>2</v>
      </c>
      <c r="N10" s="204"/>
      <c r="O10" s="194">
        <v>2011</v>
      </c>
      <c r="P10" s="194" t="s">
        <v>173</v>
      </c>
    </row>
    <row r="11" spans="1:16">
      <c r="A11" s="201" t="s">
        <v>138</v>
      </c>
      <c r="B11" s="138"/>
      <c r="C11" s="138"/>
      <c r="D11" s="138"/>
      <c r="E11" s="138"/>
      <c r="F11" s="138"/>
      <c r="G11" s="172">
        <v>1500</v>
      </c>
      <c r="H11" s="172">
        <v>1500</v>
      </c>
      <c r="I11" s="172">
        <v>1500</v>
      </c>
      <c r="J11" s="172">
        <v>2500</v>
      </c>
      <c r="K11" s="172">
        <v>2500</v>
      </c>
      <c r="L11" s="172">
        <v>2500</v>
      </c>
      <c r="M11" s="172">
        <v>2500</v>
      </c>
      <c r="N11" s="205"/>
      <c r="O11" s="194">
        <v>2011</v>
      </c>
    </row>
    <row r="12" spans="1:16">
      <c r="A12" s="200" t="s">
        <v>139</v>
      </c>
      <c r="B12" s="137"/>
      <c r="C12" s="137"/>
      <c r="D12" s="137"/>
      <c r="E12" s="137"/>
      <c r="F12" s="137"/>
      <c r="G12" s="150"/>
      <c r="H12" s="150">
        <f t="shared" ref="H12:M12" si="0">+H11/H3</f>
        <v>1.3469682438766823E-3</v>
      </c>
      <c r="I12" s="150">
        <f t="shared" si="0"/>
        <v>8.5709485983070661E-4</v>
      </c>
      <c r="J12" s="150">
        <f t="shared" si="0"/>
        <v>8.1993128319901771E-4</v>
      </c>
      <c r="K12" s="150">
        <f t="shared" si="0"/>
        <v>8.3296932573798587E-4</v>
      </c>
      <c r="L12" s="150">
        <f t="shared" si="0"/>
        <v>7.6582860510752537E-4</v>
      </c>
      <c r="M12" s="150">
        <f t="shared" si="0"/>
        <v>7.0536546113125949E-4</v>
      </c>
      <c r="N12" s="206"/>
      <c r="O12" s="194">
        <v>2011</v>
      </c>
    </row>
    <row r="13" spans="1:16">
      <c r="A13" s="201" t="s">
        <v>140</v>
      </c>
      <c r="B13" s="138"/>
      <c r="C13" s="138"/>
      <c r="D13" s="138"/>
      <c r="E13" s="138"/>
      <c r="F13" s="138"/>
      <c r="G13" s="138"/>
      <c r="H13" s="149">
        <f t="shared" ref="H13:M13" si="1">+((SUM(H7:H9)*H$113))/$N$1</f>
        <v>4766.666666666667</v>
      </c>
      <c r="I13" s="149">
        <f t="shared" si="1"/>
        <v>4766.666666666667</v>
      </c>
      <c r="J13" s="149">
        <f t="shared" si="1"/>
        <v>6500</v>
      </c>
      <c r="K13" s="149">
        <f t="shared" si="1"/>
        <v>6500</v>
      </c>
      <c r="L13" s="149">
        <f t="shared" si="1"/>
        <v>6500</v>
      </c>
      <c r="M13" s="149">
        <f t="shared" si="1"/>
        <v>6500</v>
      </c>
      <c r="N13" s="205"/>
      <c r="O13" s="194">
        <v>2011</v>
      </c>
    </row>
    <row r="14" spans="1:16">
      <c r="A14" s="200" t="s">
        <v>141</v>
      </c>
      <c r="B14" s="137"/>
      <c r="C14" s="137"/>
      <c r="D14" s="137"/>
      <c r="E14" s="137"/>
      <c r="F14" s="137"/>
      <c r="G14" s="137"/>
      <c r="H14" s="137">
        <f t="shared" ref="H14:M14" si="2">+H13/H3</f>
        <v>4.2803657527636799E-3</v>
      </c>
      <c r="I14" s="137">
        <f t="shared" si="2"/>
        <v>2.7236569990175788E-3</v>
      </c>
      <c r="J14" s="137">
        <f t="shared" si="2"/>
        <v>2.131821336317446E-3</v>
      </c>
      <c r="K14" s="137">
        <f t="shared" si="2"/>
        <v>2.1657202469187631E-3</v>
      </c>
      <c r="L14" s="137">
        <f t="shared" si="2"/>
        <v>1.9911543732795659E-3</v>
      </c>
      <c r="M14" s="137">
        <f t="shared" si="2"/>
        <v>1.8339501989412747E-3</v>
      </c>
      <c r="N14" s="135"/>
      <c r="O14" s="194">
        <v>2011</v>
      </c>
      <c r="P14" s="194" t="s">
        <v>174</v>
      </c>
    </row>
    <row r="15" spans="1:16">
      <c r="A15" s="201" t="s">
        <v>142</v>
      </c>
      <c r="B15" s="138"/>
      <c r="C15" s="138"/>
      <c r="D15" s="138"/>
      <c r="E15" s="138"/>
      <c r="F15" s="138"/>
      <c r="G15" s="138"/>
      <c r="H15" s="149">
        <f t="shared" ref="H15:M15" si="3">H$114*H10/$N$1</f>
        <v>5000</v>
      </c>
      <c r="I15" s="149">
        <f t="shared" si="3"/>
        <v>5000</v>
      </c>
      <c r="J15" s="149">
        <f t="shared" si="3"/>
        <v>5000</v>
      </c>
      <c r="K15" s="149">
        <f t="shared" si="3"/>
        <v>5000</v>
      </c>
      <c r="L15" s="149">
        <f t="shared" si="3"/>
        <v>5000</v>
      </c>
      <c r="M15" s="149">
        <f t="shared" si="3"/>
        <v>5000</v>
      </c>
      <c r="N15" s="205"/>
      <c r="O15" s="194">
        <v>2011</v>
      </c>
    </row>
    <row r="16" spans="1:16" ht="12.75" thickBot="1">
      <c r="A16" s="207" t="s">
        <v>139</v>
      </c>
      <c r="B16" s="139"/>
      <c r="C16" s="139"/>
      <c r="D16" s="139"/>
      <c r="E16" s="139"/>
      <c r="F16" s="139"/>
      <c r="G16" s="139"/>
      <c r="H16" s="137">
        <f t="shared" ref="H16:M16" si="4">+H15/H3</f>
        <v>4.4898941462556078E-3</v>
      </c>
      <c r="I16" s="137">
        <f t="shared" si="4"/>
        <v>2.8569828661023553E-3</v>
      </c>
      <c r="J16" s="137">
        <f t="shared" si="4"/>
        <v>1.6398625663980354E-3</v>
      </c>
      <c r="K16" s="137">
        <f t="shared" si="4"/>
        <v>1.6659386514759717E-3</v>
      </c>
      <c r="L16" s="137">
        <f t="shared" si="4"/>
        <v>1.5316572102150507E-3</v>
      </c>
      <c r="M16" s="137">
        <f t="shared" si="4"/>
        <v>1.410730922262519E-3</v>
      </c>
      <c r="N16" s="140"/>
      <c r="O16" s="194">
        <v>2011</v>
      </c>
    </row>
    <row r="17" spans="1:16">
      <c r="A17" s="208"/>
      <c r="B17" s="141"/>
      <c r="C17" s="141"/>
      <c r="D17" s="141"/>
      <c r="E17" s="141"/>
      <c r="F17" s="141"/>
      <c r="G17" s="141"/>
      <c r="H17" s="141"/>
      <c r="I17" s="141"/>
      <c r="J17" s="141"/>
      <c r="K17" s="141"/>
      <c r="L17" s="141"/>
      <c r="M17" s="141"/>
      <c r="N17" s="142"/>
    </row>
    <row r="18" spans="1:16">
      <c r="A18" s="201" t="s">
        <v>143</v>
      </c>
      <c r="B18" s="143">
        <v>12346180</v>
      </c>
      <c r="C18" s="143">
        <v>11151389</v>
      </c>
      <c r="D18" s="143">
        <v>12346180</v>
      </c>
      <c r="E18" s="143">
        <v>11700758</v>
      </c>
      <c r="F18" s="143">
        <v>12090784</v>
      </c>
      <c r="G18" s="143">
        <v>11700758</v>
      </c>
      <c r="H18" s="143">
        <v>12746034</v>
      </c>
      <c r="I18" s="143">
        <v>12746034</v>
      </c>
      <c r="J18" s="143">
        <v>12334872</v>
      </c>
      <c r="K18" s="143">
        <v>14597026</v>
      </c>
      <c r="L18" s="143">
        <v>14126154</v>
      </c>
      <c r="M18" s="143">
        <v>14597026</v>
      </c>
      <c r="N18" s="144">
        <f>+SUM(B18:M18)</f>
        <v>152483195</v>
      </c>
      <c r="O18" s="194">
        <v>2011</v>
      </c>
      <c r="P18" s="194" t="s">
        <v>175</v>
      </c>
    </row>
    <row r="19" spans="1:16">
      <c r="A19" s="200" t="s">
        <v>131</v>
      </c>
      <c r="B19" s="145">
        <v>0.97</v>
      </c>
      <c r="C19" s="145">
        <v>0.97</v>
      </c>
      <c r="D19" s="145">
        <v>0.97</v>
      </c>
      <c r="E19" s="145">
        <v>0.97</v>
      </c>
      <c r="F19" s="145">
        <v>0.97</v>
      </c>
      <c r="G19" s="145">
        <v>0.97</v>
      </c>
      <c r="H19" s="145">
        <v>0.97</v>
      </c>
      <c r="I19" s="145">
        <v>0.97</v>
      </c>
      <c r="J19" s="145">
        <v>0.97</v>
      </c>
      <c r="K19" s="145">
        <v>0.97</v>
      </c>
      <c r="L19" s="145">
        <v>0.97</v>
      </c>
      <c r="M19" s="145">
        <v>0.97</v>
      </c>
      <c r="N19" s="135"/>
      <c r="O19" s="194">
        <v>2011</v>
      </c>
      <c r="P19" s="194" t="s">
        <v>170</v>
      </c>
    </row>
    <row r="20" spans="1:16">
      <c r="A20" s="201" t="s">
        <v>132</v>
      </c>
      <c r="B20" s="136">
        <v>6.7062300852826166E-3</v>
      </c>
      <c r="C20" s="136">
        <v>6.7062300852826166E-3</v>
      </c>
      <c r="D20" s="136">
        <v>6.7062300852826166E-3</v>
      </c>
      <c r="E20" s="136">
        <v>6.7062300852826166E-3</v>
      </c>
      <c r="F20" s="136">
        <v>6.7062300852826166E-3</v>
      </c>
      <c r="G20" s="136">
        <v>6.7062300852826166E-3</v>
      </c>
      <c r="H20" s="136">
        <v>6.7062300852826166E-3</v>
      </c>
      <c r="I20" s="136">
        <v>6.7062300852826166E-3</v>
      </c>
      <c r="J20" s="136">
        <v>6.7062300852826157E-3</v>
      </c>
      <c r="K20" s="136">
        <v>6.7062300852826157E-3</v>
      </c>
      <c r="L20" s="136">
        <v>6.7062300852826166E-3</v>
      </c>
      <c r="M20" s="136">
        <v>6.7062300852826157E-3</v>
      </c>
      <c r="N20" s="202"/>
      <c r="O20" s="194">
        <v>2011</v>
      </c>
      <c r="P20" s="194" t="s">
        <v>171</v>
      </c>
    </row>
    <row r="21" spans="1:16">
      <c r="A21" s="200" t="s">
        <v>133</v>
      </c>
      <c r="B21" s="137">
        <v>2.5947083781657678E-4</v>
      </c>
      <c r="C21" s="137">
        <v>2.8727126893647635E-4</v>
      </c>
      <c r="D21" s="137">
        <v>3.2433854727072074E-4</v>
      </c>
      <c r="E21" s="137">
        <v>2.7109897254727015E-4</v>
      </c>
      <c r="F21" s="137">
        <v>2.6235382848823125E-4</v>
      </c>
      <c r="G21" s="137">
        <v>3.3887371568408692E-4</v>
      </c>
      <c r="H21" s="137">
        <v>2.6344784463857034E-4</v>
      </c>
      <c r="I21" s="137">
        <v>2.6344784463857034E-4</v>
      </c>
      <c r="J21" s="137">
        <v>3.402867886458328E-4</v>
      </c>
      <c r="K21" s="137">
        <v>2.6169814608615813E-4</v>
      </c>
      <c r="L21" s="137">
        <v>2.7042142132752118E-4</v>
      </c>
      <c r="M21" s="137">
        <v>3.2712268260769569E-4</v>
      </c>
      <c r="N21" s="135"/>
      <c r="O21" s="194">
        <v>2011</v>
      </c>
      <c r="P21" s="194" t="s">
        <v>172</v>
      </c>
    </row>
    <row r="22" spans="1:16">
      <c r="A22" s="201" t="s">
        <v>134</v>
      </c>
      <c r="B22" s="146">
        <v>24</v>
      </c>
      <c r="C22" s="146">
        <v>24</v>
      </c>
      <c r="D22" s="146">
        <v>24</v>
      </c>
      <c r="E22" s="146">
        <v>24</v>
      </c>
      <c r="F22" s="146">
        <v>24</v>
      </c>
      <c r="G22" s="146">
        <v>24</v>
      </c>
      <c r="H22" s="146">
        <v>24</v>
      </c>
      <c r="I22" s="146">
        <v>24</v>
      </c>
      <c r="J22" s="146">
        <v>24</v>
      </c>
      <c r="K22" s="146">
        <v>28</v>
      </c>
      <c r="L22" s="146">
        <v>28</v>
      </c>
      <c r="M22" s="146">
        <v>28</v>
      </c>
      <c r="N22" s="202"/>
      <c r="O22" s="194">
        <v>2011</v>
      </c>
    </row>
    <row r="23" spans="1:16">
      <c r="A23" s="200" t="s">
        <v>135</v>
      </c>
      <c r="B23" s="147">
        <v>4</v>
      </c>
      <c r="C23" s="147">
        <v>4</v>
      </c>
      <c r="D23" s="147">
        <v>4</v>
      </c>
      <c r="E23" s="147">
        <v>4</v>
      </c>
      <c r="F23" s="147">
        <v>4</v>
      </c>
      <c r="G23" s="147">
        <v>4</v>
      </c>
      <c r="H23" s="147">
        <v>4</v>
      </c>
      <c r="I23" s="147">
        <v>4</v>
      </c>
      <c r="J23" s="147">
        <v>4</v>
      </c>
      <c r="K23" s="147">
        <v>4</v>
      </c>
      <c r="L23" s="147">
        <v>4</v>
      </c>
      <c r="M23" s="147">
        <v>4</v>
      </c>
      <c r="N23" s="135"/>
      <c r="O23" s="194">
        <v>2011</v>
      </c>
    </row>
    <row r="24" spans="1:16">
      <c r="A24" s="201" t="s">
        <v>136</v>
      </c>
      <c r="B24" s="146">
        <v>8</v>
      </c>
      <c r="C24" s="146">
        <v>8</v>
      </c>
      <c r="D24" s="146">
        <v>8</v>
      </c>
      <c r="E24" s="146">
        <v>8</v>
      </c>
      <c r="F24" s="146">
        <v>8</v>
      </c>
      <c r="G24" s="146">
        <v>8</v>
      </c>
      <c r="H24" s="146">
        <v>8</v>
      </c>
      <c r="I24" s="146">
        <v>8</v>
      </c>
      <c r="J24" s="146">
        <v>8</v>
      </c>
      <c r="K24" s="146">
        <v>10</v>
      </c>
      <c r="L24" s="146">
        <v>10</v>
      </c>
      <c r="M24" s="146">
        <v>10</v>
      </c>
      <c r="N24" s="202"/>
      <c r="O24" s="194">
        <v>2011</v>
      </c>
    </row>
    <row r="25" spans="1:16">
      <c r="A25" s="200" t="s">
        <v>137</v>
      </c>
      <c r="B25" s="163">
        <v>2</v>
      </c>
      <c r="C25" s="163">
        <v>2</v>
      </c>
      <c r="D25" s="163">
        <v>2</v>
      </c>
      <c r="E25" s="163">
        <v>2</v>
      </c>
      <c r="F25" s="163">
        <v>2</v>
      </c>
      <c r="G25" s="163">
        <v>2</v>
      </c>
      <c r="H25" s="163">
        <v>2</v>
      </c>
      <c r="I25" s="163">
        <v>2</v>
      </c>
      <c r="J25" s="163">
        <v>2</v>
      </c>
      <c r="K25" s="163">
        <v>2</v>
      </c>
      <c r="L25" s="163">
        <v>2</v>
      </c>
      <c r="M25" s="163">
        <v>2</v>
      </c>
      <c r="N25" s="204"/>
      <c r="O25" s="194">
        <v>2011</v>
      </c>
      <c r="P25" s="194" t="s">
        <v>176</v>
      </c>
    </row>
    <row r="26" spans="1:16">
      <c r="A26" s="201" t="s">
        <v>138</v>
      </c>
      <c r="B26" s="149">
        <v>6000</v>
      </c>
      <c r="C26" s="149">
        <v>6000</v>
      </c>
      <c r="D26" s="149">
        <v>6000</v>
      </c>
      <c r="E26" s="149">
        <v>6000</v>
      </c>
      <c r="F26" s="149">
        <v>6000</v>
      </c>
      <c r="G26" s="149">
        <v>6000</v>
      </c>
      <c r="H26" s="149">
        <v>6000</v>
      </c>
      <c r="I26" s="149">
        <v>6000</v>
      </c>
      <c r="J26" s="149">
        <v>6000</v>
      </c>
      <c r="K26" s="149">
        <v>6000</v>
      </c>
      <c r="L26" s="149">
        <v>6000</v>
      </c>
      <c r="M26" s="149">
        <v>6000</v>
      </c>
      <c r="N26" s="202"/>
      <c r="O26" s="194">
        <v>2011</v>
      </c>
      <c r="P26" s="194" t="s">
        <v>177</v>
      </c>
    </row>
    <row r="27" spans="1:16">
      <c r="A27" s="200" t="s">
        <v>139</v>
      </c>
      <c r="B27" s="150">
        <f t="shared" ref="B27:M27" si="5">+B26/B18</f>
        <v>4.8598027892028141E-4</v>
      </c>
      <c r="C27" s="150">
        <f t="shared" si="5"/>
        <v>5.38049564946573E-4</v>
      </c>
      <c r="D27" s="150">
        <f t="shared" si="5"/>
        <v>4.8598027892028141E-4</v>
      </c>
      <c r="E27" s="150">
        <f t="shared" si="5"/>
        <v>5.1278729121651781E-4</v>
      </c>
      <c r="F27" s="150">
        <f t="shared" si="5"/>
        <v>4.9624573559497879E-4</v>
      </c>
      <c r="G27" s="150">
        <f t="shared" si="5"/>
        <v>5.1278729121651781E-4</v>
      </c>
      <c r="H27" s="150">
        <f t="shared" si="5"/>
        <v>4.7073466146410717E-4</v>
      </c>
      <c r="I27" s="150">
        <f t="shared" si="5"/>
        <v>4.7073466146410717E-4</v>
      </c>
      <c r="J27" s="150">
        <f t="shared" si="5"/>
        <v>4.8642580158107844E-4</v>
      </c>
      <c r="K27" s="150">
        <f t="shared" si="5"/>
        <v>4.1104263293084497E-4</v>
      </c>
      <c r="L27" s="150">
        <f t="shared" si="5"/>
        <v>4.2474405984813698E-4</v>
      </c>
      <c r="M27" s="150">
        <f t="shared" si="5"/>
        <v>4.1104263293084497E-4</v>
      </c>
      <c r="N27" s="135"/>
      <c r="O27" s="194">
        <v>2011</v>
      </c>
    </row>
    <row r="28" spans="1:16">
      <c r="A28" s="201" t="s">
        <v>140</v>
      </c>
      <c r="B28" s="149">
        <f t="shared" ref="B28:M28" si="6">+((SUM(B22:B24)*B$113))/$N$1</f>
        <v>15600</v>
      </c>
      <c r="C28" s="149">
        <f t="shared" si="6"/>
        <v>15600</v>
      </c>
      <c r="D28" s="149">
        <f t="shared" si="6"/>
        <v>15600</v>
      </c>
      <c r="E28" s="149">
        <f t="shared" si="6"/>
        <v>15600</v>
      </c>
      <c r="F28" s="149">
        <f t="shared" si="6"/>
        <v>15600</v>
      </c>
      <c r="G28" s="149">
        <f t="shared" si="6"/>
        <v>15600</v>
      </c>
      <c r="H28" s="149">
        <f t="shared" si="6"/>
        <v>15600</v>
      </c>
      <c r="I28" s="149">
        <f t="shared" si="6"/>
        <v>15600</v>
      </c>
      <c r="J28" s="149">
        <f t="shared" si="6"/>
        <v>15600</v>
      </c>
      <c r="K28" s="149">
        <f t="shared" si="6"/>
        <v>18200</v>
      </c>
      <c r="L28" s="149">
        <f t="shared" si="6"/>
        <v>18200</v>
      </c>
      <c r="M28" s="149">
        <f t="shared" si="6"/>
        <v>18200</v>
      </c>
      <c r="N28" s="202"/>
      <c r="O28" s="194">
        <v>2011</v>
      </c>
    </row>
    <row r="29" spans="1:16">
      <c r="A29" s="200" t="s">
        <v>141</v>
      </c>
      <c r="B29" s="137">
        <f t="shared" ref="B29:M29" si="7">+B28/B18</f>
        <v>1.2635487251927316E-3</v>
      </c>
      <c r="C29" s="137">
        <f t="shared" si="7"/>
        <v>1.3989288688610899E-3</v>
      </c>
      <c r="D29" s="137">
        <f t="shared" si="7"/>
        <v>1.2635487251927316E-3</v>
      </c>
      <c r="E29" s="137">
        <f t="shared" si="7"/>
        <v>1.3332469571629463E-3</v>
      </c>
      <c r="F29" s="137">
        <f t="shared" si="7"/>
        <v>1.2902389125469449E-3</v>
      </c>
      <c r="G29" s="137">
        <f t="shared" si="7"/>
        <v>1.3332469571629463E-3</v>
      </c>
      <c r="H29" s="137">
        <f t="shared" si="7"/>
        <v>1.2239101198066786E-3</v>
      </c>
      <c r="I29" s="137">
        <f t="shared" si="7"/>
        <v>1.2239101198066786E-3</v>
      </c>
      <c r="J29" s="137">
        <f t="shared" si="7"/>
        <v>1.2647070841108039E-3</v>
      </c>
      <c r="K29" s="137">
        <f t="shared" si="7"/>
        <v>1.2468293198902296E-3</v>
      </c>
      <c r="L29" s="137">
        <f t="shared" si="7"/>
        <v>1.2883903148726823E-3</v>
      </c>
      <c r="M29" s="137">
        <f t="shared" si="7"/>
        <v>1.2468293198902296E-3</v>
      </c>
      <c r="N29" s="135"/>
      <c r="O29" s="194">
        <v>2011</v>
      </c>
    </row>
    <row r="30" spans="1:16">
      <c r="A30" s="201" t="s">
        <v>142</v>
      </c>
      <c r="B30" s="149">
        <f t="shared" ref="B30:M30" si="8">B$114*B25/$N$1</f>
        <v>5000</v>
      </c>
      <c r="C30" s="149">
        <f t="shared" si="8"/>
        <v>5000</v>
      </c>
      <c r="D30" s="149">
        <f t="shared" si="8"/>
        <v>5000</v>
      </c>
      <c r="E30" s="149">
        <f t="shared" si="8"/>
        <v>5000</v>
      </c>
      <c r="F30" s="149">
        <f t="shared" si="8"/>
        <v>5000</v>
      </c>
      <c r="G30" s="149">
        <f t="shared" si="8"/>
        <v>5000</v>
      </c>
      <c r="H30" s="149">
        <f t="shared" si="8"/>
        <v>5000</v>
      </c>
      <c r="I30" s="149">
        <f t="shared" si="8"/>
        <v>5000</v>
      </c>
      <c r="J30" s="149">
        <f t="shared" si="8"/>
        <v>5000</v>
      </c>
      <c r="K30" s="149">
        <f t="shared" si="8"/>
        <v>5000</v>
      </c>
      <c r="L30" s="149">
        <f t="shared" si="8"/>
        <v>5000</v>
      </c>
      <c r="M30" s="149">
        <f t="shared" si="8"/>
        <v>5000</v>
      </c>
      <c r="N30" s="202"/>
      <c r="O30" s="194">
        <v>2011</v>
      </c>
    </row>
    <row r="31" spans="1:16">
      <c r="A31" s="200" t="s">
        <v>144</v>
      </c>
      <c r="B31" s="137">
        <f t="shared" ref="B31:M31" si="9">+B30/B18</f>
        <v>4.0498356576690119E-4</v>
      </c>
      <c r="C31" s="137">
        <f t="shared" si="9"/>
        <v>4.4837463745547754E-4</v>
      </c>
      <c r="D31" s="137">
        <f t="shared" si="9"/>
        <v>4.0498356576690119E-4</v>
      </c>
      <c r="E31" s="137">
        <f t="shared" si="9"/>
        <v>4.2732274268043148E-4</v>
      </c>
      <c r="F31" s="137">
        <f t="shared" si="9"/>
        <v>4.1353811299581564E-4</v>
      </c>
      <c r="G31" s="137">
        <f t="shared" si="9"/>
        <v>4.2732274268043148E-4</v>
      </c>
      <c r="H31" s="137">
        <f t="shared" si="9"/>
        <v>3.9227888455342267E-4</v>
      </c>
      <c r="I31" s="137">
        <f t="shared" si="9"/>
        <v>3.9227888455342267E-4</v>
      </c>
      <c r="J31" s="137">
        <f t="shared" si="9"/>
        <v>4.0535483465089871E-4</v>
      </c>
      <c r="K31" s="137">
        <f t="shared" si="9"/>
        <v>3.425355274423708E-4</v>
      </c>
      <c r="L31" s="137">
        <f t="shared" si="9"/>
        <v>3.5395338320678082E-4</v>
      </c>
      <c r="M31" s="137">
        <f t="shared" si="9"/>
        <v>3.425355274423708E-4</v>
      </c>
      <c r="N31" s="135"/>
      <c r="O31" s="194">
        <v>2011</v>
      </c>
    </row>
    <row r="32" spans="1:16" ht="12.75" thickBot="1">
      <c r="A32" s="203"/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2"/>
    </row>
    <row r="33" spans="1:16">
      <c r="A33" s="209" t="s">
        <v>145</v>
      </c>
      <c r="B33" s="153">
        <v>526789</v>
      </c>
      <c r="C33" s="153">
        <v>569280</v>
      </c>
      <c r="D33" s="153">
        <v>578947</v>
      </c>
      <c r="E33" s="153">
        <v>527473</v>
      </c>
      <c r="F33" s="153">
        <v>545055</v>
      </c>
      <c r="G33" s="153">
        <v>527473</v>
      </c>
      <c r="H33" s="153">
        <v>539130</v>
      </c>
      <c r="I33" s="153">
        <v>539130</v>
      </c>
      <c r="J33" s="153">
        <v>521739</v>
      </c>
      <c r="K33" s="153">
        <v>539130</v>
      </c>
      <c r="L33" s="153">
        <v>521739</v>
      </c>
      <c r="M33" s="153">
        <v>539130</v>
      </c>
      <c r="N33" s="154">
        <f>+SUM(B33:M33)</f>
        <v>6475015</v>
      </c>
      <c r="O33" s="194">
        <v>2011</v>
      </c>
      <c r="P33" s="194" t="s">
        <v>175</v>
      </c>
    </row>
    <row r="34" spans="1:16">
      <c r="A34" s="200" t="s">
        <v>131</v>
      </c>
      <c r="B34" s="145">
        <v>0.88</v>
      </c>
      <c r="C34" s="145">
        <v>0.88</v>
      </c>
      <c r="D34" s="145">
        <v>0.88</v>
      </c>
      <c r="E34" s="145">
        <v>0.88500000000000001</v>
      </c>
      <c r="F34" s="145">
        <v>0.88500000000000001</v>
      </c>
      <c r="G34" s="145">
        <v>0.88500000000000001</v>
      </c>
      <c r="H34" s="145">
        <v>0.89</v>
      </c>
      <c r="I34" s="145">
        <v>0.89</v>
      </c>
      <c r="J34" s="145">
        <v>0.89</v>
      </c>
      <c r="K34" s="145">
        <v>0.89500000000000002</v>
      </c>
      <c r="L34" s="145">
        <v>0.89500000000000002</v>
      </c>
      <c r="M34" s="145">
        <v>0.89500000000000002</v>
      </c>
      <c r="N34" s="135"/>
      <c r="O34" s="194">
        <v>2011</v>
      </c>
      <c r="P34" s="194" t="s">
        <v>170</v>
      </c>
    </row>
    <row r="35" spans="1:16">
      <c r="A35" s="201" t="s">
        <v>132</v>
      </c>
      <c r="B35" s="136">
        <v>1.7659411989308899E-2</v>
      </c>
      <c r="C35" s="136">
        <v>1.7659411989308899E-2</v>
      </c>
      <c r="D35" s="136">
        <v>1.7659411989308895E-2</v>
      </c>
      <c r="E35" s="136">
        <v>1.7559641300103762E-2</v>
      </c>
      <c r="F35" s="136">
        <v>1.7559641300103762E-2</v>
      </c>
      <c r="G35" s="136">
        <v>1.7559641300103762E-2</v>
      </c>
      <c r="H35" s="136">
        <v>1.7460991629878464E-2</v>
      </c>
      <c r="I35" s="136">
        <v>1.7460991629878464E-2</v>
      </c>
      <c r="J35" s="136">
        <v>1.7460991629878457E-2</v>
      </c>
      <c r="K35" s="136">
        <v>1.7363444190605395E-2</v>
      </c>
      <c r="L35" s="136">
        <v>1.7363444190605395E-2</v>
      </c>
      <c r="M35" s="136">
        <v>1.7363444190605395E-2</v>
      </c>
      <c r="N35" s="202"/>
      <c r="O35" s="194">
        <v>2011</v>
      </c>
      <c r="P35" s="194" t="s">
        <v>171</v>
      </c>
    </row>
    <row r="36" spans="1:16">
      <c r="A36" s="200" t="s">
        <v>133</v>
      </c>
      <c r="B36" s="137">
        <v>4.1341239804613275E-3</v>
      </c>
      <c r="C36" s="137">
        <v>4.1341239804613293E-3</v>
      </c>
      <c r="D36" s="137">
        <v>4.1341239804613267E-3</v>
      </c>
      <c r="E36" s="137">
        <v>4.1157466883885701E-3</v>
      </c>
      <c r="F36" s="137">
        <v>4.1157466883885675E-3</v>
      </c>
      <c r="G36" s="137">
        <v>4.1157466883885701E-3</v>
      </c>
      <c r="H36" s="137">
        <v>4.0975758827435822E-3</v>
      </c>
      <c r="I36" s="137">
        <v>4.0975758827435822E-3</v>
      </c>
      <c r="J36" s="137">
        <v>4.0975758827435883E-3</v>
      </c>
      <c r="K36" s="137">
        <v>4.0796081028600046E-3</v>
      </c>
      <c r="L36" s="137">
        <v>4.0796081028599985E-3</v>
      </c>
      <c r="M36" s="137">
        <v>4.0796081028600046E-3</v>
      </c>
      <c r="N36" s="135"/>
      <c r="O36" s="194">
        <v>2011</v>
      </c>
      <c r="P36" s="194" t="s">
        <v>172</v>
      </c>
    </row>
    <row r="37" spans="1:16">
      <c r="A37" s="201" t="s">
        <v>134</v>
      </c>
      <c r="B37" s="146">
        <v>19.991999999999997</v>
      </c>
      <c r="C37" s="146">
        <v>19.991999999999997</v>
      </c>
      <c r="D37" s="146">
        <v>19.991999999999997</v>
      </c>
      <c r="E37" s="146">
        <v>19.991999999999997</v>
      </c>
      <c r="F37" s="146">
        <v>19.991999999999997</v>
      </c>
      <c r="G37" s="146">
        <v>19.991999999999997</v>
      </c>
      <c r="H37" s="146">
        <v>19.991999999999997</v>
      </c>
      <c r="I37" s="146">
        <v>19.991999999999997</v>
      </c>
      <c r="J37" s="146">
        <v>19.991999999999997</v>
      </c>
      <c r="K37" s="146">
        <v>19.991999999999997</v>
      </c>
      <c r="L37" s="146">
        <v>19.991999999999997</v>
      </c>
      <c r="M37" s="146">
        <v>19.991999999999997</v>
      </c>
      <c r="N37" s="202"/>
      <c r="O37" s="194">
        <v>2011</v>
      </c>
    </row>
    <row r="38" spans="1:16" ht="12.75" thickBot="1">
      <c r="A38" s="203" t="s">
        <v>135</v>
      </c>
      <c r="B38" s="147">
        <v>1</v>
      </c>
      <c r="C38" s="147">
        <v>1</v>
      </c>
      <c r="D38" s="147">
        <v>1</v>
      </c>
      <c r="E38" s="147">
        <v>1</v>
      </c>
      <c r="F38" s="147">
        <v>1</v>
      </c>
      <c r="G38" s="147">
        <v>1</v>
      </c>
      <c r="H38" s="147">
        <v>1</v>
      </c>
      <c r="I38" s="147">
        <v>1</v>
      </c>
      <c r="J38" s="147">
        <v>1</v>
      </c>
      <c r="K38" s="147">
        <v>1</v>
      </c>
      <c r="L38" s="147">
        <v>1</v>
      </c>
      <c r="M38" s="147">
        <v>1</v>
      </c>
      <c r="N38" s="135"/>
      <c r="O38" s="194">
        <v>2011</v>
      </c>
    </row>
    <row r="39" spans="1:16">
      <c r="A39" s="201" t="s">
        <v>136</v>
      </c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202"/>
      <c r="O39" s="194">
        <v>2011</v>
      </c>
    </row>
    <row r="40" spans="1:16">
      <c r="A40" s="200" t="s">
        <v>137</v>
      </c>
      <c r="B40" s="148">
        <v>1</v>
      </c>
      <c r="C40" s="148">
        <v>1</v>
      </c>
      <c r="D40" s="148">
        <v>1</v>
      </c>
      <c r="E40" s="148">
        <v>1</v>
      </c>
      <c r="F40" s="148">
        <v>1</v>
      </c>
      <c r="G40" s="148">
        <v>1</v>
      </c>
      <c r="H40" s="148">
        <v>1</v>
      </c>
      <c r="I40" s="148">
        <v>1</v>
      </c>
      <c r="J40" s="148">
        <v>1</v>
      </c>
      <c r="K40" s="148">
        <v>1</v>
      </c>
      <c r="L40" s="148">
        <v>1</v>
      </c>
      <c r="M40" s="148">
        <v>1</v>
      </c>
      <c r="N40" s="204"/>
      <c r="O40" s="194">
        <v>2011</v>
      </c>
    </row>
    <row r="41" spans="1:16">
      <c r="A41" s="201" t="s">
        <v>138</v>
      </c>
      <c r="B41" s="149">
        <v>1200</v>
      </c>
      <c r="C41" s="149">
        <v>1200</v>
      </c>
      <c r="D41" s="149">
        <v>1200</v>
      </c>
      <c r="E41" s="149">
        <v>1200</v>
      </c>
      <c r="F41" s="149">
        <v>1200</v>
      </c>
      <c r="G41" s="149">
        <v>1200</v>
      </c>
      <c r="H41" s="149">
        <v>1200</v>
      </c>
      <c r="I41" s="149">
        <v>1200</v>
      </c>
      <c r="J41" s="149">
        <v>1200</v>
      </c>
      <c r="K41" s="149">
        <v>1200</v>
      </c>
      <c r="L41" s="149">
        <v>1200</v>
      </c>
      <c r="M41" s="149">
        <v>1200</v>
      </c>
      <c r="N41" s="202"/>
      <c r="O41" s="194">
        <v>2011</v>
      </c>
    </row>
    <row r="42" spans="1:16">
      <c r="A42" s="200" t="s">
        <v>139</v>
      </c>
      <c r="B42" s="137">
        <f t="shared" ref="B42:M42" si="10">+B41/B33</f>
        <v>2.2779518934525969E-3</v>
      </c>
      <c r="C42" s="137">
        <f t="shared" si="10"/>
        <v>2.1079258010118043E-3</v>
      </c>
      <c r="D42" s="137">
        <f t="shared" si="10"/>
        <v>2.0727285917363767E-3</v>
      </c>
      <c r="E42" s="137">
        <f t="shared" si="10"/>
        <v>2.2749979619809922E-3</v>
      </c>
      <c r="F42" s="137">
        <f t="shared" si="10"/>
        <v>2.2016126812890442E-3</v>
      </c>
      <c r="G42" s="137">
        <f t="shared" si="10"/>
        <v>2.2749979619809922E-3</v>
      </c>
      <c r="H42" s="137">
        <f t="shared" si="10"/>
        <v>2.2258082466195539E-3</v>
      </c>
      <c r="I42" s="137">
        <f t="shared" si="10"/>
        <v>2.2258082466195539E-3</v>
      </c>
      <c r="J42" s="137">
        <f t="shared" si="10"/>
        <v>2.3000005750001438E-3</v>
      </c>
      <c r="K42" s="137">
        <f t="shared" si="10"/>
        <v>2.2258082466195539E-3</v>
      </c>
      <c r="L42" s="137">
        <f t="shared" si="10"/>
        <v>2.3000005750001438E-3</v>
      </c>
      <c r="M42" s="137">
        <f t="shared" si="10"/>
        <v>2.2258082466195539E-3</v>
      </c>
      <c r="N42" s="135"/>
      <c r="O42" s="194">
        <v>2011</v>
      </c>
    </row>
    <row r="43" spans="1:16">
      <c r="A43" s="201" t="s">
        <v>140</v>
      </c>
      <c r="B43" s="149">
        <f t="shared" ref="B43:M43" si="11">+((SUM(B37:B39)*B$113))/$N$1</f>
        <v>9096.533333333331</v>
      </c>
      <c r="C43" s="149">
        <f t="shared" si="11"/>
        <v>9096.533333333331</v>
      </c>
      <c r="D43" s="149">
        <f t="shared" si="11"/>
        <v>9096.533333333331</v>
      </c>
      <c r="E43" s="149">
        <f t="shared" si="11"/>
        <v>9096.533333333331</v>
      </c>
      <c r="F43" s="149">
        <f t="shared" si="11"/>
        <v>9096.533333333331</v>
      </c>
      <c r="G43" s="149">
        <f t="shared" si="11"/>
        <v>9096.533333333331</v>
      </c>
      <c r="H43" s="149">
        <f t="shared" si="11"/>
        <v>9096.533333333331</v>
      </c>
      <c r="I43" s="149">
        <f t="shared" si="11"/>
        <v>9096.533333333331</v>
      </c>
      <c r="J43" s="149">
        <f t="shared" si="11"/>
        <v>9096.533333333331</v>
      </c>
      <c r="K43" s="149">
        <f t="shared" si="11"/>
        <v>9096.533333333331</v>
      </c>
      <c r="L43" s="149">
        <f t="shared" si="11"/>
        <v>9096.533333333331</v>
      </c>
      <c r="M43" s="149">
        <f t="shared" si="11"/>
        <v>9096.533333333331</v>
      </c>
      <c r="N43" s="202"/>
      <c r="O43" s="194">
        <v>2011</v>
      </c>
    </row>
    <row r="44" spans="1:16">
      <c r="A44" s="200" t="s">
        <v>141</v>
      </c>
      <c r="B44" s="137">
        <f t="shared" ref="B44:M44" si="12">+B43/B33</f>
        <v>1.7267887775434435E-2</v>
      </c>
      <c r="C44" s="137">
        <f t="shared" si="12"/>
        <v>1.5979014427581033E-2</v>
      </c>
      <c r="D44" s="137">
        <f t="shared" si="12"/>
        <v>1.5712203938069168E-2</v>
      </c>
      <c r="E44" s="137">
        <f t="shared" si="12"/>
        <v>1.7245495662021243E-2</v>
      </c>
      <c r="F44" s="137">
        <f t="shared" si="12"/>
        <v>1.668920261869597E-2</v>
      </c>
      <c r="G44" s="137">
        <f t="shared" si="12"/>
        <v>1.7245495662021243E-2</v>
      </c>
      <c r="H44" s="137">
        <f t="shared" si="12"/>
        <v>1.6872615757485821E-2</v>
      </c>
      <c r="I44" s="137">
        <f t="shared" si="12"/>
        <v>1.6872615757485821E-2</v>
      </c>
      <c r="J44" s="137">
        <f t="shared" si="12"/>
        <v>1.7435026580978862E-2</v>
      </c>
      <c r="K44" s="137">
        <f t="shared" si="12"/>
        <v>1.6872615757485821E-2</v>
      </c>
      <c r="L44" s="137">
        <f t="shared" si="12"/>
        <v>1.7435026580978862E-2</v>
      </c>
      <c r="M44" s="137">
        <f t="shared" si="12"/>
        <v>1.6872615757485821E-2</v>
      </c>
      <c r="N44" s="135"/>
      <c r="O44" s="194">
        <v>2011</v>
      </c>
    </row>
    <row r="45" spans="1:16">
      <c r="A45" s="201" t="s">
        <v>142</v>
      </c>
      <c r="B45" s="149">
        <f t="shared" ref="B45:M45" si="13">B$114*B40/$N$1</f>
        <v>2500</v>
      </c>
      <c r="C45" s="149">
        <f t="shared" si="13"/>
        <v>2500</v>
      </c>
      <c r="D45" s="149">
        <f t="shared" si="13"/>
        <v>2500</v>
      </c>
      <c r="E45" s="149">
        <f t="shared" si="13"/>
        <v>2500</v>
      </c>
      <c r="F45" s="149">
        <f t="shared" si="13"/>
        <v>2500</v>
      </c>
      <c r="G45" s="149">
        <f t="shared" si="13"/>
        <v>2500</v>
      </c>
      <c r="H45" s="149">
        <f t="shared" si="13"/>
        <v>2500</v>
      </c>
      <c r="I45" s="149">
        <f t="shared" si="13"/>
        <v>2500</v>
      </c>
      <c r="J45" s="149">
        <f t="shared" si="13"/>
        <v>2500</v>
      </c>
      <c r="K45" s="149">
        <f t="shared" si="13"/>
        <v>2500</v>
      </c>
      <c r="L45" s="149">
        <f t="shared" si="13"/>
        <v>2500</v>
      </c>
      <c r="M45" s="149">
        <f t="shared" si="13"/>
        <v>2500</v>
      </c>
      <c r="N45" s="202"/>
      <c r="O45" s="194">
        <v>2011</v>
      </c>
    </row>
    <row r="46" spans="1:16">
      <c r="A46" s="200" t="s">
        <v>144</v>
      </c>
      <c r="B46" s="137">
        <f t="shared" ref="B46:M46" si="14">+B45/B33</f>
        <v>4.7457331113595763E-3</v>
      </c>
      <c r="C46" s="137">
        <f t="shared" si="14"/>
        <v>4.3915120854412593E-3</v>
      </c>
      <c r="D46" s="137">
        <f t="shared" si="14"/>
        <v>4.3181845661174507E-3</v>
      </c>
      <c r="E46" s="137">
        <f t="shared" si="14"/>
        <v>4.7395790874604007E-3</v>
      </c>
      <c r="F46" s="137">
        <f t="shared" si="14"/>
        <v>4.5866930860188424E-3</v>
      </c>
      <c r="G46" s="137">
        <f t="shared" si="14"/>
        <v>4.7395790874604007E-3</v>
      </c>
      <c r="H46" s="137">
        <f t="shared" si="14"/>
        <v>4.6371005137907373E-3</v>
      </c>
      <c r="I46" s="137">
        <f t="shared" si="14"/>
        <v>4.6371005137907373E-3</v>
      </c>
      <c r="J46" s="137">
        <f t="shared" si="14"/>
        <v>4.7916678645836324E-3</v>
      </c>
      <c r="K46" s="137">
        <f t="shared" si="14"/>
        <v>4.6371005137907373E-3</v>
      </c>
      <c r="L46" s="137">
        <f t="shared" si="14"/>
        <v>4.7916678645836324E-3</v>
      </c>
      <c r="M46" s="137">
        <f t="shared" si="14"/>
        <v>4.6371005137907373E-3</v>
      </c>
      <c r="N46" s="135"/>
      <c r="O46" s="194">
        <v>2011</v>
      </c>
    </row>
    <row r="47" spans="1:16" ht="12.75" thickBot="1">
      <c r="A47" s="210"/>
      <c r="B47" s="155"/>
      <c r="C47" s="155"/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6"/>
    </row>
    <row r="48" spans="1:16">
      <c r="A48" s="199" t="s">
        <v>146</v>
      </c>
      <c r="B48" s="157">
        <v>12847124</v>
      </c>
      <c r="C48" s="157">
        <v>11125151</v>
      </c>
      <c r="D48" s="157">
        <v>11986920</v>
      </c>
      <c r="E48" s="157">
        <v>13192644</v>
      </c>
      <c r="F48" s="157">
        <v>13575909</v>
      </c>
      <c r="G48" s="157">
        <v>13192644</v>
      </c>
      <c r="H48" s="157">
        <v>13471078</v>
      </c>
      <c r="I48" s="157">
        <v>13471078</v>
      </c>
      <c r="J48" s="157">
        <v>13098500</v>
      </c>
      <c r="K48" s="157">
        <v>12111264</v>
      </c>
      <c r="L48" s="157">
        <v>11765444</v>
      </c>
      <c r="M48" s="157">
        <v>12111264</v>
      </c>
      <c r="N48" s="133">
        <f>+SUM(B48:M48)</f>
        <v>151949020</v>
      </c>
      <c r="O48" s="194">
        <v>2011</v>
      </c>
      <c r="P48" s="194" t="s">
        <v>175</v>
      </c>
    </row>
    <row r="49" spans="1:16">
      <c r="A49" s="200" t="s">
        <v>131</v>
      </c>
      <c r="B49" s="145">
        <v>0.91</v>
      </c>
      <c r="C49" s="145">
        <v>0.91</v>
      </c>
      <c r="D49" s="145">
        <v>0.91</v>
      </c>
      <c r="E49" s="145">
        <v>0.91500000000000004</v>
      </c>
      <c r="F49" s="145">
        <v>0.91500000000000004</v>
      </c>
      <c r="G49" s="145">
        <v>0.91500000000000004</v>
      </c>
      <c r="H49" s="145">
        <v>0.92</v>
      </c>
      <c r="I49" s="145">
        <v>0.92</v>
      </c>
      <c r="J49" s="145">
        <v>0.92</v>
      </c>
      <c r="K49" s="145">
        <v>0.92500000000000004</v>
      </c>
      <c r="L49" s="145">
        <v>0.92500000000000004</v>
      </c>
      <c r="M49" s="145">
        <v>0.92500000000000004</v>
      </c>
      <c r="N49" s="135"/>
      <c r="O49" s="194">
        <v>2011</v>
      </c>
      <c r="P49" s="194" t="s">
        <v>170</v>
      </c>
    </row>
    <row r="50" spans="1:16">
      <c r="A50" s="201" t="s">
        <v>132</v>
      </c>
      <c r="B50" s="136">
        <v>5.1426643531906707E-2</v>
      </c>
      <c r="C50" s="136">
        <v>5.14266435319067E-2</v>
      </c>
      <c r="D50" s="136">
        <v>5.14266435319067E-2</v>
      </c>
      <c r="E50" s="136">
        <v>5.1145623621896286E-2</v>
      </c>
      <c r="F50" s="136">
        <v>5.1145623621896279E-2</v>
      </c>
      <c r="G50" s="136">
        <v>5.1145623621896286E-2</v>
      </c>
      <c r="H50" s="136">
        <v>5.0867658276125112E-2</v>
      </c>
      <c r="I50" s="136">
        <v>5.0867658276125112E-2</v>
      </c>
      <c r="J50" s="136">
        <v>5.0867658276125098E-2</v>
      </c>
      <c r="K50" s="136">
        <v>5.0592697961119024E-2</v>
      </c>
      <c r="L50" s="136">
        <v>5.0592697961119024E-2</v>
      </c>
      <c r="M50" s="136">
        <v>5.0592697961119024E-2</v>
      </c>
      <c r="N50" s="202"/>
      <c r="O50" s="194">
        <v>2011</v>
      </c>
      <c r="P50" s="194" t="s">
        <v>171</v>
      </c>
    </row>
    <row r="51" spans="1:16">
      <c r="A51" s="200" t="s">
        <v>178</v>
      </c>
      <c r="B51" s="137">
        <v>1.5139220442640277E-2</v>
      </c>
      <c r="C51" s="137">
        <v>1.5139220442640274E-2</v>
      </c>
      <c r="D51" s="137">
        <v>1.5139220442640298E-2</v>
      </c>
      <c r="E51" s="137">
        <v>1.5078660634143003E-2</v>
      </c>
      <c r="F51" s="137">
        <v>1.507866063414301E-2</v>
      </c>
      <c r="G51" s="137">
        <v>1.5078660634143003E-2</v>
      </c>
      <c r="H51" s="137">
        <v>1.5018759084433765E-2</v>
      </c>
      <c r="I51" s="137">
        <v>1.5018759084433765E-2</v>
      </c>
      <c r="J51" s="137">
        <v>1.5018759084433767E-2</v>
      </c>
      <c r="K51" s="137">
        <v>1.4959505119045688E-2</v>
      </c>
      <c r="L51" s="137">
        <v>1.4959505119045683E-2</v>
      </c>
      <c r="M51" s="137">
        <v>1.4959505119045688E-2</v>
      </c>
      <c r="N51" s="135"/>
      <c r="O51" s="194">
        <v>2011</v>
      </c>
      <c r="P51" s="194" t="s">
        <v>172</v>
      </c>
    </row>
    <row r="52" spans="1:16">
      <c r="A52" s="201" t="s">
        <v>134</v>
      </c>
      <c r="B52" s="146">
        <v>134</v>
      </c>
      <c r="C52" s="146">
        <v>134</v>
      </c>
      <c r="D52" s="146">
        <v>134</v>
      </c>
      <c r="E52" s="146">
        <v>140</v>
      </c>
      <c r="F52" s="146">
        <v>140</v>
      </c>
      <c r="G52" s="146">
        <v>140</v>
      </c>
      <c r="H52" s="146">
        <v>140</v>
      </c>
      <c r="I52" s="146">
        <v>154</v>
      </c>
      <c r="J52" s="146">
        <v>176</v>
      </c>
      <c r="K52" s="146">
        <v>114</v>
      </c>
      <c r="L52" s="146">
        <v>138</v>
      </c>
      <c r="M52" s="146">
        <v>142</v>
      </c>
      <c r="N52" s="202"/>
      <c r="O52" s="194">
        <v>2011</v>
      </c>
    </row>
    <row r="53" spans="1:16" ht="12.75" thickBot="1">
      <c r="A53" s="203" t="s">
        <v>135</v>
      </c>
      <c r="B53" s="147">
        <v>3</v>
      </c>
      <c r="C53" s="147">
        <v>3</v>
      </c>
      <c r="D53" s="147">
        <v>3</v>
      </c>
      <c r="E53" s="147">
        <v>3</v>
      </c>
      <c r="F53" s="147">
        <v>3</v>
      </c>
      <c r="G53" s="147">
        <v>3</v>
      </c>
      <c r="H53" s="147">
        <v>3</v>
      </c>
      <c r="I53" s="147">
        <v>3</v>
      </c>
      <c r="J53" s="147">
        <v>3</v>
      </c>
      <c r="K53" s="147">
        <v>3</v>
      </c>
      <c r="L53" s="147">
        <v>3</v>
      </c>
      <c r="M53" s="147">
        <v>3</v>
      </c>
      <c r="N53" s="135"/>
      <c r="O53" s="194">
        <v>2011</v>
      </c>
    </row>
    <row r="54" spans="1:16">
      <c r="A54" s="201" t="s">
        <v>136</v>
      </c>
      <c r="B54" s="146">
        <v>11</v>
      </c>
      <c r="C54" s="146">
        <v>11</v>
      </c>
      <c r="D54" s="146">
        <v>11</v>
      </c>
      <c r="E54" s="146">
        <v>12</v>
      </c>
      <c r="F54" s="146">
        <v>12</v>
      </c>
      <c r="G54" s="146">
        <v>12</v>
      </c>
      <c r="H54" s="146">
        <v>12</v>
      </c>
      <c r="I54" s="146">
        <v>12</v>
      </c>
      <c r="J54" s="146">
        <v>12</v>
      </c>
      <c r="K54" s="146">
        <v>12</v>
      </c>
      <c r="L54" s="146">
        <v>12</v>
      </c>
      <c r="M54" s="146">
        <v>12</v>
      </c>
      <c r="N54" s="202"/>
      <c r="O54" s="194">
        <v>2011</v>
      </c>
    </row>
    <row r="55" spans="1:16">
      <c r="A55" s="200" t="s">
        <v>137</v>
      </c>
      <c r="B55" s="148">
        <v>4</v>
      </c>
      <c r="C55" s="148">
        <v>4</v>
      </c>
      <c r="D55" s="148">
        <v>4</v>
      </c>
      <c r="E55" s="148">
        <v>4</v>
      </c>
      <c r="F55" s="148">
        <v>4</v>
      </c>
      <c r="G55" s="148">
        <v>4</v>
      </c>
      <c r="H55" s="148">
        <v>4</v>
      </c>
      <c r="I55" s="148">
        <v>4</v>
      </c>
      <c r="J55" s="148">
        <v>4</v>
      </c>
      <c r="K55" s="148">
        <v>4</v>
      </c>
      <c r="L55" s="148">
        <v>4</v>
      </c>
      <c r="M55" s="148">
        <v>4</v>
      </c>
      <c r="N55" s="204"/>
      <c r="O55" s="194">
        <v>2011</v>
      </c>
    </row>
    <row r="56" spans="1:16">
      <c r="A56" s="201" t="s">
        <v>138</v>
      </c>
      <c r="B56" s="149">
        <v>8400</v>
      </c>
      <c r="C56" s="149">
        <v>10500</v>
      </c>
      <c r="D56" s="149">
        <v>8400</v>
      </c>
      <c r="E56" s="149">
        <v>8400</v>
      </c>
      <c r="F56" s="149">
        <v>10500</v>
      </c>
      <c r="G56" s="149">
        <v>8400</v>
      </c>
      <c r="H56" s="149">
        <v>8400</v>
      </c>
      <c r="I56" s="149">
        <v>10500</v>
      </c>
      <c r="J56" s="149">
        <v>8400</v>
      </c>
      <c r="K56" s="149">
        <v>8400</v>
      </c>
      <c r="L56" s="149">
        <v>10500</v>
      </c>
      <c r="M56" s="149">
        <v>8400</v>
      </c>
      <c r="N56" s="202"/>
      <c r="O56" s="194">
        <v>2011</v>
      </c>
    </row>
    <row r="57" spans="1:16">
      <c r="A57" s="200" t="s">
        <v>139</v>
      </c>
      <c r="B57" s="137">
        <f t="shared" ref="B57:M57" si="15">+B56/B48</f>
        <v>6.5384283673139605E-4</v>
      </c>
      <c r="C57" s="137">
        <f t="shared" si="15"/>
        <v>9.4380741438925193E-4</v>
      </c>
      <c r="D57" s="137">
        <f t="shared" si="15"/>
        <v>7.0076383257750951E-4</v>
      </c>
      <c r="E57" s="137">
        <f t="shared" si="15"/>
        <v>6.3671846219757013E-4</v>
      </c>
      <c r="F57" s="137">
        <f t="shared" si="15"/>
        <v>7.7342887316053752E-4</v>
      </c>
      <c r="G57" s="137">
        <f t="shared" si="15"/>
        <v>6.3671846219757013E-4</v>
      </c>
      <c r="H57" s="137">
        <f t="shared" si="15"/>
        <v>6.2355811465125504E-4</v>
      </c>
      <c r="I57" s="137">
        <f t="shared" si="15"/>
        <v>7.7944764331406885E-4</v>
      </c>
      <c r="J57" s="137">
        <f t="shared" si="15"/>
        <v>6.4129480474863529E-4</v>
      </c>
      <c r="K57" s="137">
        <f t="shared" si="15"/>
        <v>6.935692261352737E-4</v>
      </c>
      <c r="L57" s="137">
        <f t="shared" si="15"/>
        <v>8.9244400806293416E-4</v>
      </c>
      <c r="M57" s="137">
        <f t="shared" si="15"/>
        <v>6.935692261352737E-4</v>
      </c>
      <c r="N57" s="135"/>
      <c r="O57" s="194">
        <v>2011</v>
      </c>
    </row>
    <row r="58" spans="1:16">
      <c r="A58" s="201" t="s">
        <v>140</v>
      </c>
      <c r="B58" s="149">
        <f t="shared" ref="B58:M58" si="16">+((SUM(B52:B54)*B$113))/$N$1</f>
        <v>64133.333333333336</v>
      </c>
      <c r="C58" s="149">
        <f t="shared" si="16"/>
        <v>64133.333333333336</v>
      </c>
      <c r="D58" s="149">
        <f t="shared" si="16"/>
        <v>64133.333333333336</v>
      </c>
      <c r="E58" s="149">
        <f t="shared" si="16"/>
        <v>67166.666666666672</v>
      </c>
      <c r="F58" s="149">
        <f t="shared" si="16"/>
        <v>67166.666666666672</v>
      </c>
      <c r="G58" s="149">
        <f t="shared" si="16"/>
        <v>67166.666666666672</v>
      </c>
      <c r="H58" s="149">
        <f t="shared" si="16"/>
        <v>67166.666666666672</v>
      </c>
      <c r="I58" s="149">
        <f t="shared" si="16"/>
        <v>73233.333333333328</v>
      </c>
      <c r="J58" s="149">
        <f t="shared" si="16"/>
        <v>82766.666666666672</v>
      </c>
      <c r="K58" s="149">
        <f t="shared" si="16"/>
        <v>55900</v>
      </c>
      <c r="L58" s="149">
        <f t="shared" si="16"/>
        <v>66300</v>
      </c>
      <c r="M58" s="149">
        <f t="shared" si="16"/>
        <v>68033.333333333328</v>
      </c>
      <c r="N58" s="202"/>
      <c r="O58" s="194">
        <v>2011</v>
      </c>
    </row>
    <row r="59" spans="1:16">
      <c r="A59" s="200" t="s">
        <v>141</v>
      </c>
      <c r="B59" s="137">
        <f t="shared" ref="B59:M59" si="17">+B58/B48</f>
        <v>4.9920381661555796E-3</v>
      </c>
      <c r="C59" s="137">
        <f t="shared" si="17"/>
        <v>5.7647157628092725E-3</v>
      </c>
      <c r="D59" s="137">
        <f t="shared" si="17"/>
        <v>5.3502762455520962E-3</v>
      </c>
      <c r="E59" s="137">
        <f t="shared" si="17"/>
        <v>5.0912210370162849E-3</v>
      </c>
      <c r="F59" s="137">
        <f t="shared" si="17"/>
        <v>4.9474894584713757E-3</v>
      </c>
      <c r="G59" s="137">
        <f t="shared" si="17"/>
        <v>5.0912210370162849E-3</v>
      </c>
      <c r="H59" s="137">
        <f t="shared" si="17"/>
        <v>4.985990480247139E-3</v>
      </c>
      <c r="I59" s="137">
        <f t="shared" si="17"/>
        <v>5.4363380074952672E-3</v>
      </c>
      <c r="J59" s="137">
        <f t="shared" si="17"/>
        <v>6.31878968329707E-3</v>
      </c>
      <c r="K59" s="137">
        <f t="shared" si="17"/>
        <v>4.615538064400215E-3</v>
      </c>
      <c r="L59" s="137">
        <f t="shared" si="17"/>
        <v>5.6351464509116697E-3</v>
      </c>
      <c r="M59" s="137">
        <f t="shared" si="17"/>
        <v>5.6173602799289429E-3</v>
      </c>
      <c r="N59" s="135"/>
      <c r="O59" s="194">
        <v>2011</v>
      </c>
    </row>
    <row r="60" spans="1:16">
      <c r="A60" s="201" t="s">
        <v>142</v>
      </c>
      <c r="B60" s="149">
        <f t="shared" ref="B60:M60" si="18">B$114*B55/$N$1</f>
        <v>10000</v>
      </c>
      <c r="C60" s="149">
        <f t="shared" si="18"/>
        <v>10000</v>
      </c>
      <c r="D60" s="149">
        <f t="shared" si="18"/>
        <v>10000</v>
      </c>
      <c r="E60" s="149">
        <f t="shared" si="18"/>
        <v>10000</v>
      </c>
      <c r="F60" s="149">
        <f t="shared" si="18"/>
        <v>10000</v>
      </c>
      <c r="G60" s="149">
        <f t="shared" si="18"/>
        <v>10000</v>
      </c>
      <c r="H60" s="149">
        <f t="shared" si="18"/>
        <v>10000</v>
      </c>
      <c r="I60" s="149">
        <f t="shared" si="18"/>
        <v>10000</v>
      </c>
      <c r="J60" s="149">
        <f t="shared" si="18"/>
        <v>10000</v>
      </c>
      <c r="K60" s="149">
        <f t="shared" si="18"/>
        <v>10000</v>
      </c>
      <c r="L60" s="149">
        <f t="shared" si="18"/>
        <v>10000</v>
      </c>
      <c r="M60" s="149">
        <f t="shared" si="18"/>
        <v>10000</v>
      </c>
      <c r="N60" s="202"/>
      <c r="O60" s="194">
        <v>2011</v>
      </c>
    </row>
    <row r="61" spans="1:16">
      <c r="A61" s="200" t="s">
        <v>144</v>
      </c>
      <c r="B61" s="137">
        <f t="shared" ref="B61:M61" si="19">+B60/B48</f>
        <v>7.7838432944213819E-4</v>
      </c>
      <c r="C61" s="137">
        <f t="shared" si="19"/>
        <v>8.9886420418023986E-4</v>
      </c>
      <c r="D61" s="137">
        <f t="shared" si="19"/>
        <v>8.3424265783036842E-4</v>
      </c>
      <c r="E61" s="137">
        <f t="shared" si="19"/>
        <v>7.5799816928282155E-4</v>
      </c>
      <c r="F61" s="137">
        <f t="shared" si="19"/>
        <v>7.3659892681955956E-4</v>
      </c>
      <c r="G61" s="137">
        <f t="shared" si="19"/>
        <v>7.5799816928282155E-4</v>
      </c>
      <c r="H61" s="137">
        <f t="shared" si="19"/>
        <v>7.4233108887054172E-4</v>
      </c>
      <c r="I61" s="137">
        <f t="shared" si="19"/>
        <v>7.4233108887054172E-4</v>
      </c>
      <c r="J61" s="137">
        <f t="shared" si="19"/>
        <v>7.6344619612932782E-4</v>
      </c>
      <c r="K61" s="137">
        <f t="shared" si="19"/>
        <v>8.2567765016104016E-4</v>
      </c>
      <c r="L61" s="137">
        <f t="shared" si="19"/>
        <v>8.4994667434565155E-4</v>
      </c>
      <c r="M61" s="137">
        <f t="shared" si="19"/>
        <v>8.2567765016104016E-4</v>
      </c>
      <c r="N61" s="135"/>
      <c r="O61" s="194">
        <v>2011</v>
      </c>
    </row>
    <row r="62" spans="1:16" ht="12.75" thickBot="1">
      <c r="A62" s="210"/>
      <c r="B62" s="155"/>
      <c r="C62" s="155"/>
      <c r="D62" s="155"/>
      <c r="E62" s="155"/>
      <c r="F62" s="155"/>
      <c r="G62" s="155"/>
      <c r="H62" s="155"/>
      <c r="I62" s="155"/>
      <c r="J62" s="155"/>
      <c r="K62" s="155"/>
      <c r="L62" s="155"/>
      <c r="M62" s="155"/>
      <c r="N62" s="156"/>
    </row>
    <row r="63" spans="1:16">
      <c r="A63" s="199" t="s">
        <v>147</v>
      </c>
      <c r="B63" s="157">
        <v>19462730</v>
      </c>
      <c r="C63" s="157">
        <v>17579240</v>
      </c>
      <c r="D63" s="157">
        <v>19462730</v>
      </c>
      <c r="E63" s="157">
        <v>20435341</v>
      </c>
      <c r="F63" s="157">
        <v>21116519</v>
      </c>
      <c r="G63" s="157">
        <v>21737341</v>
      </c>
      <c r="H63" s="157">
        <v>22965541</v>
      </c>
      <c r="I63" s="157">
        <v>24267541</v>
      </c>
      <c r="J63" s="157">
        <v>26844717</v>
      </c>
      <c r="K63" s="157">
        <v>24753496</v>
      </c>
      <c r="L63" s="157">
        <v>24061448</v>
      </c>
      <c r="M63" s="157">
        <v>25053496</v>
      </c>
      <c r="N63" s="133">
        <f>+SUM(B63:M63)</f>
        <v>267740140</v>
      </c>
      <c r="O63" s="194">
        <v>2011</v>
      </c>
      <c r="P63" s="194" t="s">
        <v>175</v>
      </c>
    </row>
    <row r="64" spans="1:16">
      <c r="A64" s="200" t="s">
        <v>131</v>
      </c>
      <c r="B64" s="173">
        <v>0.92500000000000004</v>
      </c>
      <c r="C64" s="173">
        <v>0.92500000000000004</v>
      </c>
      <c r="D64" s="173">
        <v>0.92500000000000004</v>
      </c>
      <c r="E64" s="173">
        <v>0.93</v>
      </c>
      <c r="F64" s="173">
        <v>0.93</v>
      </c>
      <c r="G64" s="173">
        <v>0.93</v>
      </c>
      <c r="H64" s="173">
        <v>0.93500000000000005</v>
      </c>
      <c r="I64" s="173">
        <v>0.93500000000000005</v>
      </c>
      <c r="J64" s="173">
        <v>0.93500000000000005</v>
      </c>
      <c r="K64" s="173">
        <v>0.94</v>
      </c>
      <c r="L64" s="173">
        <v>0.94</v>
      </c>
      <c r="M64" s="173">
        <v>0.94</v>
      </c>
      <c r="N64" s="135"/>
      <c r="O64" s="194">
        <v>2011</v>
      </c>
      <c r="P64" s="194" t="s">
        <v>170</v>
      </c>
    </row>
    <row r="65" spans="1:16">
      <c r="A65" s="201" t="s">
        <v>132</v>
      </c>
      <c r="B65" s="136">
        <v>1.4006689129628892E-2</v>
      </c>
      <c r="C65" s="136">
        <v>1.4006689129628894E-2</v>
      </c>
      <c r="D65" s="136">
        <v>1.4006689129628892E-2</v>
      </c>
      <c r="E65" s="136">
        <v>1.3931384349362074E-2</v>
      </c>
      <c r="F65" s="136">
        <v>1.3931384349362072E-2</v>
      </c>
      <c r="G65" s="136">
        <v>1.3931384349362074E-2</v>
      </c>
      <c r="H65" s="136">
        <v>1.3856884967814682E-2</v>
      </c>
      <c r="I65" s="136">
        <v>1.3845757679906034E-2</v>
      </c>
      <c r="J65" s="136">
        <v>1.3845757679906033E-2</v>
      </c>
      <c r="K65" s="136">
        <v>1.3772110032672494E-2</v>
      </c>
      <c r="L65" s="136">
        <v>1.3772110032672492E-2</v>
      </c>
      <c r="M65" s="136">
        <v>1.3772110032672494E-2</v>
      </c>
      <c r="N65" s="202"/>
      <c r="O65" s="194">
        <v>2011</v>
      </c>
      <c r="P65" s="194" t="s">
        <v>171</v>
      </c>
    </row>
    <row r="66" spans="1:16">
      <c r="A66" s="200" t="s">
        <v>133</v>
      </c>
      <c r="B66" s="137">
        <v>6.2288693092804495E-4</v>
      </c>
      <c r="C66" s="137">
        <v>6.3886010671046684E-4</v>
      </c>
      <c r="D66" s="137">
        <v>6.2288693092804495E-4</v>
      </c>
      <c r="E66" s="137">
        <v>6.5244164300884389E-4</v>
      </c>
      <c r="F66" s="137">
        <v>6.7230930904555104E-4</v>
      </c>
      <c r="G66" s="137">
        <v>6.508049081507182E-4</v>
      </c>
      <c r="H66" s="137">
        <v>7.7180068631776597E-4</v>
      </c>
      <c r="I66" s="137">
        <v>8.1100939155564415E-4</v>
      </c>
      <c r="J66" s="137">
        <v>7.5054675043021021E-4</v>
      </c>
      <c r="K66" s="137">
        <v>7.9156782104527709E-4</v>
      </c>
      <c r="L66" s="137">
        <v>8.5179853800530282E-4</v>
      </c>
      <c r="M66" s="137">
        <v>7.895652087639368E-4</v>
      </c>
      <c r="N66" s="135"/>
      <c r="O66" s="194">
        <v>2011</v>
      </c>
      <c r="P66" s="194" t="s">
        <v>172</v>
      </c>
    </row>
    <row r="67" spans="1:16">
      <c r="A67" s="201" t="s">
        <v>134</v>
      </c>
      <c r="B67" s="211">
        <v>194</v>
      </c>
      <c r="C67" s="212">
        <v>194</v>
      </c>
      <c r="D67" s="212">
        <v>194</v>
      </c>
      <c r="E67" s="212">
        <v>194</v>
      </c>
      <c r="F67" s="212">
        <v>200</v>
      </c>
      <c r="G67" s="212">
        <v>200</v>
      </c>
      <c r="H67" s="212">
        <v>192</v>
      </c>
      <c r="I67" s="212">
        <v>192</v>
      </c>
      <c r="J67" s="212">
        <v>192</v>
      </c>
      <c r="K67" s="212">
        <v>188</v>
      </c>
      <c r="L67" s="212">
        <v>184</v>
      </c>
      <c r="M67" s="212">
        <v>180</v>
      </c>
      <c r="N67" s="202"/>
      <c r="O67" s="194">
        <v>2011</v>
      </c>
    </row>
    <row r="68" spans="1:16" ht="12.75" thickBot="1">
      <c r="A68" s="203" t="s">
        <v>135</v>
      </c>
      <c r="B68" s="160">
        <v>5</v>
      </c>
      <c r="C68" s="160">
        <v>5</v>
      </c>
      <c r="D68" s="160">
        <v>6</v>
      </c>
      <c r="E68" s="160">
        <v>6</v>
      </c>
      <c r="F68" s="160">
        <v>6</v>
      </c>
      <c r="G68" s="160">
        <v>6</v>
      </c>
      <c r="H68" s="160">
        <v>8</v>
      </c>
      <c r="I68" s="160">
        <v>8</v>
      </c>
      <c r="J68" s="160">
        <v>8</v>
      </c>
      <c r="K68" s="160">
        <v>8</v>
      </c>
      <c r="L68" s="160">
        <v>8</v>
      </c>
      <c r="M68" s="160">
        <v>8</v>
      </c>
      <c r="N68" s="135"/>
      <c r="O68" s="194">
        <v>2011</v>
      </c>
    </row>
    <row r="69" spans="1:16">
      <c r="A69" s="201" t="s">
        <v>136</v>
      </c>
      <c r="B69" s="146">
        <v>10</v>
      </c>
      <c r="C69" s="146">
        <v>10</v>
      </c>
      <c r="D69" s="146">
        <v>10</v>
      </c>
      <c r="E69" s="146">
        <v>12</v>
      </c>
      <c r="F69" s="146">
        <v>12</v>
      </c>
      <c r="G69" s="146">
        <v>12</v>
      </c>
      <c r="H69" s="146">
        <v>12</v>
      </c>
      <c r="I69" s="146">
        <v>14</v>
      </c>
      <c r="J69" s="146">
        <v>14</v>
      </c>
      <c r="K69" s="146">
        <v>14</v>
      </c>
      <c r="L69" s="146">
        <v>14</v>
      </c>
      <c r="M69" s="146">
        <v>14</v>
      </c>
      <c r="N69" s="202"/>
      <c r="O69" s="194">
        <v>2011</v>
      </c>
    </row>
    <row r="70" spans="1:16">
      <c r="A70" s="200" t="s">
        <v>137</v>
      </c>
      <c r="B70" s="148">
        <v>10</v>
      </c>
      <c r="C70" s="148">
        <v>10</v>
      </c>
      <c r="D70" s="148">
        <v>10</v>
      </c>
      <c r="E70" s="148">
        <v>10</v>
      </c>
      <c r="F70" s="148">
        <v>10</v>
      </c>
      <c r="G70" s="148">
        <v>10</v>
      </c>
      <c r="H70" s="148">
        <v>10</v>
      </c>
      <c r="I70" s="148">
        <v>10</v>
      </c>
      <c r="J70" s="148">
        <v>10</v>
      </c>
      <c r="K70" s="148">
        <v>10</v>
      </c>
      <c r="L70" s="148">
        <v>10</v>
      </c>
      <c r="M70" s="148">
        <v>10</v>
      </c>
      <c r="N70" s="204"/>
      <c r="O70" s="194">
        <v>2011</v>
      </c>
    </row>
    <row r="71" spans="1:16">
      <c r="A71" s="201" t="s">
        <v>138</v>
      </c>
      <c r="B71" s="149">
        <v>6000</v>
      </c>
      <c r="C71" s="149">
        <f>+B71*1.25</f>
        <v>7500</v>
      </c>
      <c r="D71" s="149">
        <f>+B71</f>
        <v>6000</v>
      </c>
      <c r="E71" s="149">
        <f t="shared" ref="E71:M71" si="20">+B71*(E63/B63)</f>
        <v>6299.8379980609088</v>
      </c>
      <c r="F71" s="149">
        <f t="shared" si="20"/>
        <v>9009.143313362807</v>
      </c>
      <c r="G71" s="149">
        <f t="shared" si="20"/>
        <v>6701.2205379204261</v>
      </c>
      <c r="H71" s="149">
        <f t="shared" si="20"/>
        <v>7079.8519015574884</v>
      </c>
      <c r="I71" s="149">
        <f t="shared" si="20"/>
        <v>10353.494093032463</v>
      </c>
      <c r="J71" s="149">
        <f t="shared" si="20"/>
        <v>8275.7301776266759</v>
      </c>
      <c r="K71" s="149">
        <f t="shared" si="20"/>
        <v>7631.0453877744785</v>
      </c>
      <c r="L71" s="149">
        <f t="shared" si="20"/>
        <v>10265.566657034093</v>
      </c>
      <c r="M71" s="149">
        <f t="shared" si="20"/>
        <v>7723.5298439633107</v>
      </c>
      <c r="N71" s="202"/>
      <c r="O71" s="194">
        <v>2011</v>
      </c>
    </row>
    <row r="72" spans="1:16">
      <c r="A72" s="200" t="s">
        <v>139</v>
      </c>
      <c r="B72" s="137">
        <f t="shared" ref="B72:M72" si="21">+B71/B63</f>
        <v>3.0828152062942866E-4</v>
      </c>
      <c r="C72" s="137">
        <f t="shared" si="21"/>
        <v>4.2663960444251289E-4</v>
      </c>
      <c r="D72" s="137">
        <f t="shared" si="21"/>
        <v>3.0828152062942866E-4</v>
      </c>
      <c r="E72" s="137">
        <f t="shared" si="21"/>
        <v>3.0828152062942866E-4</v>
      </c>
      <c r="F72" s="137">
        <f t="shared" si="21"/>
        <v>4.2663960444251284E-4</v>
      </c>
      <c r="G72" s="137">
        <f t="shared" si="21"/>
        <v>3.0828152062942871E-4</v>
      </c>
      <c r="H72" s="137">
        <f t="shared" si="21"/>
        <v>3.0828152062942861E-4</v>
      </c>
      <c r="I72" s="137">
        <f t="shared" si="21"/>
        <v>4.2663960444251284E-4</v>
      </c>
      <c r="J72" s="137">
        <f t="shared" si="21"/>
        <v>3.0828152062942871E-4</v>
      </c>
      <c r="K72" s="137">
        <f t="shared" si="21"/>
        <v>3.0828152062942861E-4</v>
      </c>
      <c r="L72" s="137">
        <f t="shared" si="21"/>
        <v>4.2663960444251289E-4</v>
      </c>
      <c r="M72" s="137">
        <f t="shared" si="21"/>
        <v>3.0828152062942877E-4</v>
      </c>
      <c r="N72" s="135"/>
      <c r="O72" s="194">
        <v>2011</v>
      </c>
    </row>
    <row r="73" spans="1:16">
      <c r="A73" s="201" t="s">
        <v>140</v>
      </c>
      <c r="B73" s="149">
        <f t="shared" ref="B73:M73" si="22">+((SUM(B67:B69)*B$113))/$N$1</f>
        <v>90566.666666666672</v>
      </c>
      <c r="C73" s="149">
        <f t="shared" si="22"/>
        <v>90566.666666666672</v>
      </c>
      <c r="D73" s="149">
        <f t="shared" si="22"/>
        <v>91000</v>
      </c>
      <c r="E73" s="149">
        <f t="shared" si="22"/>
        <v>91866.666666666672</v>
      </c>
      <c r="F73" s="149">
        <f t="shared" si="22"/>
        <v>94466.666666666672</v>
      </c>
      <c r="G73" s="149">
        <f t="shared" si="22"/>
        <v>94466.666666666672</v>
      </c>
      <c r="H73" s="149">
        <f t="shared" si="22"/>
        <v>91866.666666666672</v>
      </c>
      <c r="I73" s="149">
        <f t="shared" si="22"/>
        <v>92733.333333333328</v>
      </c>
      <c r="J73" s="149">
        <f t="shared" si="22"/>
        <v>92733.333333333328</v>
      </c>
      <c r="K73" s="149">
        <f t="shared" si="22"/>
        <v>91000</v>
      </c>
      <c r="L73" s="149">
        <f t="shared" si="22"/>
        <v>89266.666666666672</v>
      </c>
      <c r="M73" s="149">
        <f t="shared" si="22"/>
        <v>87533.333333333328</v>
      </c>
      <c r="N73" s="202"/>
      <c r="O73" s="194">
        <v>2011</v>
      </c>
    </row>
    <row r="74" spans="1:16">
      <c r="A74" s="200" t="s">
        <v>141</v>
      </c>
      <c r="B74" s="137">
        <f t="shared" ref="B74:M74" si="23">+B73/B63</f>
        <v>4.6533382863897651E-3</v>
      </c>
      <c r="C74" s="137">
        <f t="shared" si="23"/>
        <v>5.151910245645811E-3</v>
      </c>
      <c r="D74" s="137">
        <f t="shared" si="23"/>
        <v>4.675603062879668E-3</v>
      </c>
      <c r="E74" s="137">
        <f t="shared" si="23"/>
        <v>4.4954799954973436E-3</v>
      </c>
      <c r="F74" s="137">
        <f t="shared" si="23"/>
        <v>4.4735908729401216E-3</v>
      </c>
      <c r="G74" s="137">
        <f t="shared" si="23"/>
        <v>4.3458243888554113E-3</v>
      </c>
      <c r="H74" s="137">
        <f t="shared" si="23"/>
        <v>4.0001960618592297E-3</v>
      </c>
      <c r="I74" s="137">
        <f t="shared" si="23"/>
        <v>3.8212908894779793E-3</v>
      </c>
      <c r="J74" s="137">
        <f t="shared" si="23"/>
        <v>3.4544351252923742E-3</v>
      </c>
      <c r="K74" s="137">
        <f t="shared" si="23"/>
        <v>3.6762483973980888E-3</v>
      </c>
      <c r="L74" s="137">
        <f t="shared" si="23"/>
        <v>3.7099457466843503E-3</v>
      </c>
      <c r="M74" s="137">
        <f t="shared" si="23"/>
        <v>3.493857038288522E-3</v>
      </c>
      <c r="N74" s="135"/>
      <c r="O74" s="194">
        <v>2011</v>
      </c>
    </row>
    <row r="75" spans="1:16">
      <c r="A75" s="201" t="s">
        <v>142</v>
      </c>
      <c r="B75" s="149">
        <f t="shared" ref="B75:M75" si="24">B$114*B70/$N$1</f>
        <v>25000</v>
      </c>
      <c r="C75" s="149">
        <f t="shared" si="24"/>
        <v>25000</v>
      </c>
      <c r="D75" s="149">
        <f t="shared" si="24"/>
        <v>25000</v>
      </c>
      <c r="E75" s="149">
        <f t="shared" si="24"/>
        <v>25000</v>
      </c>
      <c r="F75" s="149">
        <f t="shared" si="24"/>
        <v>25000</v>
      </c>
      <c r="G75" s="149">
        <f t="shared" si="24"/>
        <v>25000</v>
      </c>
      <c r="H75" s="149">
        <f t="shared" si="24"/>
        <v>25000</v>
      </c>
      <c r="I75" s="149">
        <f t="shared" si="24"/>
        <v>25000</v>
      </c>
      <c r="J75" s="149">
        <f t="shared" si="24"/>
        <v>25000</v>
      </c>
      <c r="K75" s="149">
        <f t="shared" si="24"/>
        <v>25000</v>
      </c>
      <c r="L75" s="149">
        <f t="shared" si="24"/>
        <v>25000</v>
      </c>
      <c r="M75" s="149">
        <f t="shared" si="24"/>
        <v>25000</v>
      </c>
      <c r="N75" s="202"/>
      <c r="O75" s="194">
        <v>2011</v>
      </c>
    </row>
    <row r="76" spans="1:16">
      <c r="A76" s="200" t="s">
        <v>144</v>
      </c>
      <c r="B76" s="137">
        <f t="shared" ref="B76:M76" si="25">+B75/B63</f>
        <v>1.2845063359559527E-3</v>
      </c>
      <c r="C76" s="137">
        <f t="shared" si="25"/>
        <v>1.4221320148083763E-3</v>
      </c>
      <c r="D76" s="137">
        <f t="shared" si="25"/>
        <v>1.2845063359559527E-3</v>
      </c>
      <c r="E76" s="137">
        <f t="shared" si="25"/>
        <v>1.2233708260605976E-3</v>
      </c>
      <c r="F76" s="137">
        <f t="shared" si="25"/>
        <v>1.1839072528952333E-3</v>
      </c>
      <c r="G76" s="137">
        <f t="shared" si="25"/>
        <v>1.1500946688925752E-3</v>
      </c>
      <c r="H76" s="137">
        <f t="shared" si="25"/>
        <v>1.0885874624072648E-3</v>
      </c>
      <c r="I76" s="137">
        <f t="shared" si="25"/>
        <v>1.030182662512036E-3</v>
      </c>
      <c r="J76" s="137">
        <f t="shared" si="25"/>
        <v>9.3128193528730437E-4</v>
      </c>
      <c r="K76" s="137">
        <f t="shared" si="25"/>
        <v>1.0099583509335409E-3</v>
      </c>
      <c r="L76" s="137">
        <f t="shared" si="25"/>
        <v>1.039006463783892E-3</v>
      </c>
      <c r="M76" s="137">
        <f t="shared" si="25"/>
        <v>9.9786472913800128E-4</v>
      </c>
      <c r="N76" s="135"/>
      <c r="O76" s="194">
        <v>2011</v>
      </c>
    </row>
    <row r="77" spans="1:16" ht="12.75" thickBot="1">
      <c r="A77" s="210"/>
      <c r="B77" s="155"/>
      <c r="C77" s="155"/>
      <c r="D77" s="155"/>
      <c r="E77" s="155"/>
      <c r="F77" s="155"/>
      <c r="G77" s="155"/>
      <c r="H77" s="155"/>
      <c r="I77" s="155"/>
      <c r="J77" s="155"/>
      <c r="K77" s="155"/>
      <c r="L77" s="155"/>
      <c r="M77" s="155"/>
      <c r="N77" s="156"/>
    </row>
    <row r="78" spans="1:16">
      <c r="A78" s="199" t="s">
        <v>179</v>
      </c>
      <c r="B78" s="157">
        <v>0</v>
      </c>
      <c r="C78" s="157">
        <v>0</v>
      </c>
      <c r="D78" s="157">
        <v>0</v>
      </c>
      <c r="E78" s="157">
        <v>2126448</v>
      </c>
      <c r="F78" s="157">
        <v>2197329</v>
      </c>
      <c r="G78" s="157">
        <v>2126448</v>
      </c>
      <c r="H78" s="157">
        <v>3561883</v>
      </c>
      <c r="I78" s="157">
        <v>3561883</v>
      </c>
      <c r="J78" s="157">
        <v>3446984</v>
      </c>
      <c r="K78" s="157">
        <v>4911310</v>
      </c>
      <c r="L78" s="157">
        <v>4752880</v>
      </c>
      <c r="M78" s="157">
        <v>4911310</v>
      </c>
      <c r="N78" s="133">
        <f>+SUM(B78:M78)</f>
        <v>31596475</v>
      </c>
      <c r="O78" s="194">
        <v>2011</v>
      </c>
      <c r="P78" s="194" t="s">
        <v>175</v>
      </c>
    </row>
    <row r="79" spans="1:16">
      <c r="A79" s="200" t="s">
        <v>131</v>
      </c>
      <c r="B79" s="159">
        <v>0.78</v>
      </c>
      <c r="C79" s="159">
        <v>0.81</v>
      </c>
      <c r="D79" s="159">
        <v>0.83</v>
      </c>
      <c r="E79" s="159">
        <v>0.86</v>
      </c>
      <c r="F79" s="159">
        <v>0.88</v>
      </c>
      <c r="G79" s="159">
        <v>0.89</v>
      </c>
      <c r="H79" s="159">
        <v>0.9</v>
      </c>
      <c r="I79" s="159">
        <v>0.91</v>
      </c>
      <c r="J79" s="159">
        <v>0.92</v>
      </c>
      <c r="K79" s="159">
        <v>0.92</v>
      </c>
      <c r="L79" s="159">
        <v>0.92</v>
      </c>
      <c r="M79" s="159">
        <v>0.92</v>
      </c>
      <c r="N79" s="135"/>
      <c r="O79" s="194">
        <v>2011</v>
      </c>
      <c r="P79" s="194" t="s">
        <v>170</v>
      </c>
    </row>
    <row r="80" spans="1:16">
      <c r="A80" s="201" t="s">
        <v>132</v>
      </c>
      <c r="B80" s="136"/>
      <c r="C80" s="136"/>
      <c r="D80" s="136"/>
      <c r="E80" s="136">
        <v>2.9911518283611303E-2</v>
      </c>
      <c r="F80" s="136">
        <v>2.9231711049892865E-2</v>
      </c>
      <c r="G80" s="136">
        <v>2.8903264858321037E-2</v>
      </c>
      <c r="H80" s="136">
        <v>2.858211747100636E-2</v>
      </c>
      <c r="I80" s="136">
        <v>2.8268028268028263E-2</v>
      </c>
      <c r="J80" s="136">
        <v>2.7960767091201866E-2</v>
      </c>
      <c r="K80" s="136">
        <v>2.796076709120187E-2</v>
      </c>
      <c r="L80" s="136">
        <v>2.7960767091201873E-2</v>
      </c>
      <c r="M80" s="136">
        <v>2.796076709120187E-2</v>
      </c>
      <c r="N80" s="202"/>
      <c r="O80" s="194">
        <v>2011</v>
      </c>
      <c r="P80" s="194" t="s">
        <v>171</v>
      </c>
    </row>
    <row r="81" spans="1:16">
      <c r="A81" s="200" t="s">
        <v>133</v>
      </c>
      <c r="B81" s="137"/>
      <c r="C81" s="137"/>
      <c r="D81" s="137"/>
      <c r="E81" s="137">
        <v>4.9671472099931746E-3</v>
      </c>
      <c r="F81" s="137">
        <v>4.904844621887278E-3</v>
      </c>
      <c r="G81" s="137">
        <v>4.8747433714540801E-3</v>
      </c>
      <c r="H81" s="137">
        <v>4.8453110376971854E-3</v>
      </c>
      <c r="I81" s="137">
        <v>4.8165255684184671E-3</v>
      </c>
      <c r="J81" s="137">
        <v>4.788365870211018E-3</v>
      </c>
      <c r="K81" s="137">
        <v>4.7883658702110232E-3</v>
      </c>
      <c r="L81" s="137">
        <v>4.7883658702110102E-3</v>
      </c>
      <c r="M81" s="137">
        <v>4.7883658702110232E-3</v>
      </c>
      <c r="N81" s="135"/>
      <c r="O81" s="194">
        <v>2011</v>
      </c>
      <c r="P81" s="194" t="s">
        <v>172</v>
      </c>
    </row>
    <row r="82" spans="1:16">
      <c r="A82" s="201" t="s">
        <v>134</v>
      </c>
      <c r="B82" s="211"/>
      <c r="C82" s="212"/>
      <c r="D82" s="212"/>
      <c r="E82" s="212"/>
      <c r="F82" s="212"/>
      <c r="G82" s="212"/>
      <c r="H82" s="212"/>
      <c r="I82" s="212"/>
      <c r="J82" s="212"/>
      <c r="K82" s="212"/>
      <c r="L82" s="212"/>
      <c r="M82" s="212"/>
      <c r="N82" s="202"/>
      <c r="O82" s="194">
        <v>2011</v>
      </c>
    </row>
    <row r="83" spans="1:16" ht="12.75" thickBot="1">
      <c r="A83" s="203" t="s">
        <v>135</v>
      </c>
      <c r="B83" s="160"/>
      <c r="C83" s="160"/>
      <c r="D83" s="160"/>
      <c r="E83" s="160"/>
      <c r="F83" s="160"/>
      <c r="G83" s="160"/>
      <c r="H83" s="160"/>
      <c r="I83" s="160"/>
      <c r="J83" s="160"/>
      <c r="K83" s="160"/>
      <c r="L83" s="160"/>
      <c r="M83" s="160"/>
      <c r="N83" s="135"/>
      <c r="O83" s="194">
        <v>2011</v>
      </c>
    </row>
    <row r="84" spans="1:16">
      <c r="A84" s="201" t="s">
        <v>136</v>
      </c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202"/>
      <c r="O84" s="194">
        <v>2011</v>
      </c>
    </row>
    <row r="85" spans="1:16">
      <c r="A85" s="200" t="s">
        <v>137</v>
      </c>
      <c r="B85" s="148"/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204"/>
      <c r="O85" s="194">
        <v>2011</v>
      </c>
    </row>
    <row r="86" spans="1:16">
      <c r="A86" s="201" t="s">
        <v>138</v>
      </c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202"/>
      <c r="O86" s="194">
        <v>2011</v>
      </c>
    </row>
    <row r="87" spans="1:16">
      <c r="A87" s="200" t="s">
        <v>139</v>
      </c>
      <c r="B87" s="137"/>
      <c r="C87" s="137"/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5"/>
      <c r="O87" s="194">
        <v>2011</v>
      </c>
    </row>
    <row r="88" spans="1:16">
      <c r="A88" s="201" t="s">
        <v>140</v>
      </c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202"/>
      <c r="O88" s="194">
        <v>2011</v>
      </c>
    </row>
    <row r="89" spans="1:16">
      <c r="A89" s="200" t="s">
        <v>141</v>
      </c>
      <c r="B89" s="137"/>
      <c r="C89" s="137"/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5"/>
      <c r="O89" s="194">
        <v>2011</v>
      </c>
    </row>
    <row r="90" spans="1:16">
      <c r="A90" s="201" t="s">
        <v>142</v>
      </c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202"/>
      <c r="O90" s="194">
        <v>2011</v>
      </c>
    </row>
    <row r="91" spans="1:16">
      <c r="A91" s="200" t="s">
        <v>144</v>
      </c>
      <c r="B91" s="137"/>
      <c r="C91" s="137"/>
      <c r="D91" s="137"/>
      <c r="E91" s="137"/>
      <c r="F91" s="137"/>
      <c r="G91" s="137"/>
      <c r="H91" s="137"/>
      <c r="I91" s="137"/>
      <c r="J91" s="137"/>
      <c r="K91" s="137"/>
      <c r="L91" s="137"/>
      <c r="M91" s="137"/>
      <c r="N91" s="135"/>
      <c r="O91" s="194">
        <v>2011</v>
      </c>
    </row>
    <row r="92" spans="1:16" ht="12.75" thickBot="1">
      <c r="A92" s="210"/>
      <c r="B92" s="155"/>
      <c r="C92" s="155"/>
      <c r="D92" s="155"/>
      <c r="E92" s="155"/>
      <c r="F92" s="155"/>
      <c r="G92" s="155"/>
      <c r="H92" s="155"/>
      <c r="I92" s="155"/>
      <c r="J92" s="155"/>
      <c r="K92" s="155"/>
      <c r="L92" s="155"/>
      <c r="M92" s="155"/>
      <c r="N92" s="156"/>
    </row>
    <row r="93" spans="1:16">
      <c r="A93" s="199" t="s">
        <v>148</v>
      </c>
      <c r="B93" s="157">
        <v>5989510</v>
      </c>
      <c r="C93" s="158">
        <v>5409880</v>
      </c>
      <c r="D93" s="158">
        <v>5989510</v>
      </c>
      <c r="E93" s="158">
        <v>9310220</v>
      </c>
      <c r="F93" s="158">
        <v>9620560</v>
      </c>
      <c r="G93" s="158">
        <v>9310220</v>
      </c>
      <c r="H93" s="158">
        <v>12594424</v>
      </c>
      <c r="I93" s="158">
        <v>12594424</v>
      </c>
      <c r="J93" s="158">
        <v>12188152</v>
      </c>
      <c r="K93" s="158">
        <v>16049745</v>
      </c>
      <c r="L93" s="158">
        <v>15532011</v>
      </c>
      <c r="M93" s="158">
        <v>16049745</v>
      </c>
      <c r="N93" s="161">
        <f>+SUM(B93:M93)</f>
        <v>130638401</v>
      </c>
      <c r="O93" s="194">
        <v>2011</v>
      </c>
      <c r="P93" s="194" t="s">
        <v>175</v>
      </c>
    </row>
    <row r="94" spans="1:16">
      <c r="A94" s="200" t="s">
        <v>131</v>
      </c>
      <c r="B94" s="145">
        <v>0.96</v>
      </c>
      <c r="C94" s="145">
        <v>0.96</v>
      </c>
      <c r="D94" s="145">
        <v>0.96</v>
      </c>
      <c r="E94" s="145">
        <v>0.96199999999999997</v>
      </c>
      <c r="F94" s="145">
        <v>0.96199999999999997</v>
      </c>
      <c r="G94" s="145">
        <v>0.96199999999999997</v>
      </c>
      <c r="H94" s="145">
        <v>0.96499999999999997</v>
      </c>
      <c r="I94" s="145">
        <v>0.96499999999999997</v>
      </c>
      <c r="J94" s="145">
        <v>0.96499999999999997</v>
      </c>
      <c r="K94" s="145">
        <v>0.96499999999999997</v>
      </c>
      <c r="L94" s="145">
        <v>0.96499999999999997</v>
      </c>
      <c r="M94" s="145">
        <v>0.96499999999999997</v>
      </c>
      <c r="N94" s="135"/>
      <c r="O94" s="194">
        <v>2011</v>
      </c>
      <c r="P94" s="194" t="s">
        <v>170</v>
      </c>
    </row>
    <row r="95" spans="1:16">
      <c r="A95" s="201" t="s">
        <v>132</v>
      </c>
      <c r="B95" s="136">
        <v>3.64E-3</v>
      </c>
      <c r="C95" s="136">
        <v>3.64E-3</v>
      </c>
      <c r="D95" s="136">
        <v>3.64E-3</v>
      </c>
      <c r="E95" s="136">
        <v>3.6800000000000001E-3</v>
      </c>
      <c r="F95" s="136">
        <v>3.6800000000000001E-3</v>
      </c>
      <c r="G95" s="136">
        <v>3.6800000000000001E-3</v>
      </c>
      <c r="H95" s="136">
        <v>3.7100000000000002E-3</v>
      </c>
      <c r="I95" s="136">
        <v>3.7100000000000002E-3</v>
      </c>
      <c r="J95" s="136">
        <v>3.7100000000000002E-3</v>
      </c>
      <c r="K95" s="136">
        <v>3.7100000000000002E-3</v>
      </c>
      <c r="L95" s="136">
        <v>3.7100000000000002E-3</v>
      </c>
      <c r="M95" s="136">
        <v>3.7100000000000002E-3</v>
      </c>
      <c r="N95" s="202"/>
      <c r="O95" s="194">
        <v>2011</v>
      </c>
      <c r="P95" s="194" t="s">
        <v>171</v>
      </c>
    </row>
    <row r="96" spans="1:16">
      <c r="A96" s="200" t="s">
        <v>133</v>
      </c>
      <c r="B96" s="137">
        <v>2.3700000000000001E-3</v>
      </c>
      <c r="C96" s="137">
        <v>2.3700000000000001E-3</v>
      </c>
      <c r="D96" s="137">
        <v>2.3700000000000001E-3</v>
      </c>
      <c r="E96" s="137">
        <v>2.3700000000000001E-3</v>
      </c>
      <c r="F96" s="137">
        <v>2.3700000000000001E-3</v>
      </c>
      <c r="G96" s="137">
        <v>2.3700000000000001E-3</v>
      </c>
      <c r="H96" s="137">
        <v>2.3700000000000001E-3</v>
      </c>
      <c r="I96" s="137">
        <v>2.3700000000000001E-3</v>
      </c>
      <c r="J96" s="137">
        <v>2.3700000000000001E-3</v>
      </c>
      <c r="K96" s="137">
        <v>2.3700000000000001E-3</v>
      </c>
      <c r="L96" s="137">
        <v>2.3700000000000001E-3</v>
      </c>
      <c r="M96" s="137">
        <v>2.3700000000000001E-3</v>
      </c>
      <c r="N96" s="135"/>
      <c r="O96" s="194">
        <v>2011</v>
      </c>
      <c r="P96" s="194" t="s">
        <v>172</v>
      </c>
    </row>
    <row r="97" spans="1:15">
      <c r="A97" s="201" t="s">
        <v>134</v>
      </c>
      <c r="B97" s="213">
        <v>24</v>
      </c>
      <c r="C97" s="214">
        <v>24</v>
      </c>
      <c r="D97" s="214">
        <v>24</v>
      </c>
      <c r="E97" s="214">
        <v>32</v>
      </c>
      <c r="F97" s="214">
        <v>32</v>
      </c>
      <c r="G97" s="214">
        <v>32</v>
      </c>
      <c r="H97" s="214">
        <v>38</v>
      </c>
      <c r="I97" s="214">
        <v>38</v>
      </c>
      <c r="J97" s="214">
        <v>38</v>
      </c>
      <c r="K97" s="214">
        <v>42</v>
      </c>
      <c r="L97" s="214">
        <v>42</v>
      </c>
      <c r="M97" s="214">
        <v>42</v>
      </c>
      <c r="N97" s="202"/>
      <c r="O97" s="194">
        <v>2011</v>
      </c>
    </row>
    <row r="98" spans="1:15" ht="12.75" thickBot="1">
      <c r="A98" s="203" t="s">
        <v>135</v>
      </c>
      <c r="B98" s="160">
        <v>5</v>
      </c>
      <c r="C98" s="160">
        <v>5</v>
      </c>
      <c r="D98" s="160">
        <v>5</v>
      </c>
      <c r="E98" s="160">
        <v>6</v>
      </c>
      <c r="F98" s="160">
        <v>6</v>
      </c>
      <c r="G98" s="160">
        <v>6</v>
      </c>
      <c r="H98" s="160">
        <v>7</v>
      </c>
      <c r="I98" s="160">
        <v>7</v>
      </c>
      <c r="J98" s="160">
        <v>7</v>
      </c>
      <c r="K98" s="160">
        <v>8</v>
      </c>
      <c r="L98" s="160">
        <v>8</v>
      </c>
      <c r="M98" s="160">
        <v>8</v>
      </c>
      <c r="N98" s="135"/>
      <c r="O98" s="194">
        <v>2011</v>
      </c>
    </row>
    <row r="99" spans="1:15">
      <c r="A99" s="201" t="s">
        <v>136</v>
      </c>
      <c r="B99" s="162">
        <v>6</v>
      </c>
      <c r="C99" s="162">
        <v>6</v>
      </c>
      <c r="D99" s="162">
        <v>6</v>
      </c>
      <c r="E99" s="162">
        <v>7</v>
      </c>
      <c r="F99" s="162">
        <v>7</v>
      </c>
      <c r="G99" s="162">
        <v>7</v>
      </c>
      <c r="H99" s="162">
        <v>8</v>
      </c>
      <c r="I99" s="162">
        <v>8</v>
      </c>
      <c r="J99" s="162">
        <v>8</v>
      </c>
      <c r="K99" s="162">
        <v>8</v>
      </c>
      <c r="L99" s="162">
        <v>8</v>
      </c>
      <c r="M99" s="162">
        <v>8</v>
      </c>
      <c r="N99" s="202"/>
      <c r="O99" s="194">
        <v>2011</v>
      </c>
    </row>
    <row r="100" spans="1:15">
      <c r="A100" s="200" t="s">
        <v>137</v>
      </c>
      <c r="B100" s="163">
        <v>2</v>
      </c>
      <c r="C100" s="163">
        <v>2</v>
      </c>
      <c r="D100" s="163">
        <v>2</v>
      </c>
      <c r="E100" s="163">
        <v>4</v>
      </c>
      <c r="F100" s="163">
        <v>4</v>
      </c>
      <c r="G100" s="163">
        <v>4</v>
      </c>
      <c r="H100" s="163">
        <v>4</v>
      </c>
      <c r="I100" s="163">
        <v>4</v>
      </c>
      <c r="J100" s="163">
        <v>4</v>
      </c>
      <c r="K100" s="163">
        <v>6</v>
      </c>
      <c r="L100" s="163">
        <v>6</v>
      </c>
      <c r="M100" s="163">
        <v>6</v>
      </c>
      <c r="N100" s="204"/>
      <c r="O100" s="194">
        <v>2011</v>
      </c>
    </row>
    <row r="101" spans="1:15">
      <c r="A101" s="201" t="s">
        <v>138</v>
      </c>
      <c r="B101" s="149">
        <v>4000</v>
      </c>
      <c r="C101" s="149">
        <f t="shared" ref="C101:M101" si="26">+B101*(C93/B93)</f>
        <v>3612.9032258064517</v>
      </c>
      <c r="D101" s="149">
        <f t="shared" si="26"/>
        <v>4000.0000000000005</v>
      </c>
      <c r="E101" s="149">
        <f t="shared" si="26"/>
        <v>6217.6839173822245</v>
      </c>
      <c r="F101" s="149">
        <f t="shared" si="26"/>
        <v>6424.9396027387902</v>
      </c>
      <c r="G101" s="149">
        <f t="shared" si="26"/>
        <v>6217.6839173822254</v>
      </c>
      <c r="H101" s="149">
        <f t="shared" si="26"/>
        <v>8410.9878771385338</v>
      </c>
      <c r="I101" s="149">
        <f t="shared" si="26"/>
        <v>8410.9878771385338</v>
      </c>
      <c r="J101" s="149">
        <f t="shared" si="26"/>
        <v>8139.6655152090943</v>
      </c>
      <c r="K101" s="149">
        <f t="shared" si="26"/>
        <v>10718.569632574288</v>
      </c>
      <c r="L101" s="149">
        <f t="shared" si="26"/>
        <v>10372.809127958719</v>
      </c>
      <c r="M101" s="149">
        <f t="shared" si="26"/>
        <v>10718.56963257429</v>
      </c>
      <c r="N101" s="202"/>
      <c r="O101" s="194">
        <v>2011</v>
      </c>
    </row>
    <row r="102" spans="1:15">
      <c r="A102" s="200" t="s">
        <v>139</v>
      </c>
      <c r="B102" s="137">
        <f t="shared" ref="B102:M102" si="27">+B101/B93</f>
        <v>6.6783426357080967E-4</v>
      </c>
      <c r="C102" s="137">
        <f t="shared" si="27"/>
        <v>6.6783426357080967E-4</v>
      </c>
      <c r="D102" s="137">
        <f t="shared" si="27"/>
        <v>6.6783426357080967E-4</v>
      </c>
      <c r="E102" s="137">
        <f t="shared" si="27"/>
        <v>6.6783426357080978E-4</v>
      </c>
      <c r="F102" s="137">
        <f t="shared" si="27"/>
        <v>6.6783426357080978E-4</v>
      </c>
      <c r="G102" s="137">
        <f t="shared" si="27"/>
        <v>6.6783426357080989E-4</v>
      </c>
      <c r="H102" s="137">
        <f t="shared" si="27"/>
        <v>6.6783426357080989E-4</v>
      </c>
      <c r="I102" s="137">
        <f t="shared" si="27"/>
        <v>6.6783426357080989E-4</v>
      </c>
      <c r="J102" s="137">
        <f t="shared" si="27"/>
        <v>6.6783426357080989E-4</v>
      </c>
      <c r="K102" s="137">
        <f t="shared" si="27"/>
        <v>6.6783426357080989E-4</v>
      </c>
      <c r="L102" s="137">
        <f t="shared" si="27"/>
        <v>6.6783426357080989E-4</v>
      </c>
      <c r="M102" s="137">
        <f t="shared" si="27"/>
        <v>6.6783426357081E-4</v>
      </c>
      <c r="N102" s="135"/>
      <c r="O102" s="194">
        <v>2011</v>
      </c>
    </row>
    <row r="103" spans="1:15">
      <c r="A103" s="201" t="s">
        <v>140</v>
      </c>
      <c r="B103" s="149">
        <f t="shared" ref="B103:M103" si="28">+((SUM(B97:B99)*B$113))/$N$1</f>
        <v>15166.666666666666</v>
      </c>
      <c r="C103" s="149">
        <f t="shared" si="28"/>
        <v>15166.666666666666</v>
      </c>
      <c r="D103" s="149">
        <f t="shared" si="28"/>
        <v>15166.666666666666</v>
      </c>
      <c r="E103" s="149">
        <f t="shared" si="28"/>
        <v>19500</v>
      </c>
      <c r="F103" s="149">
        <f t="shared" si="28"/>
        <v>19500</v>
      </c>
      <c r="G103" s="149">
        <f t="shared" si="28"/>
        <v>19500</v>
      </c>
      <c r="H103" s="149">
        <f t="shared" si="28"/>
        <v>22966.666666666668</v>
      </c>
      <c r="I103" s="149">
        <f t="shared" si="28"/>
        <v>22966.666666666668</v>
      </c>
      <c r="J103" s="149">
        <f t="shared" si="28"/>
        <v>22966.666666666668</v>
      </c>
      <c r="K103" s="149">
        <f t="shared" si="28"/>
        <v>25133.333333333332</v>
      </c>
      <c r="L103" s="149">
        <f t="shared" si="28"/>
        <v>25133.333333333332</v>
      </c>
      <c r="M103" s="149">
        <f t="shared" si="28"/>
        <v>25133.333333333332</v>
      </c>
      <c r="N103" s="202"/>
      <c r="O103" s="194">
        <v>2011</v>
      </c>
    </row>
    <row r="104" spans="1:15">
      <c r="A104" s="200" t="s">
        <v>141</v>
      </c>
      <c r="B104" s="137">
        <f t="shared" ref="B104:M104" si="29">+B103/B93</f>
        <v>2.5322049160393196E-3</v>
      </c>
      <c r="C104" s="137">
        <f t="shared" si="29"/>
        <v>2.8035125856149612E-3</v>
      </c>
      <c r="D104" s="137">
        <f t="shared" si="29"/>
        <v>2.5322049160393196E-3</v>
      </c>
      <c r="E104" s="137">
        <f t="shared" si="29"/>
        <v>2.0944725258909029E-3</v>
      </c>
      <c r="F104" s="137">
        <f t="shared" si="29"/>
        <v>2.0269090364802051E-3</v>
      </c>
      <c r="G104" s="137">
        <f t="shared" si="29"/>
        <v>2.0944725258909029E-3</v>
      </c>
      <c r="H104" s="137">
        <f t="shared" si="29"/>
        <v>1.8235583196712028E-3</v>
      </c>
      <c r="I104" s="137">
        <f t="shared" si="29"/>
        <v>1.8235583196712028E-3</v>
      </c>
      <c r="J104" s="137">
        <f t="shared" si="29"/>
        <v>1.8843436368915212E-3</v>
      </c>
      <c r="K104" s="137">
        <f t="shared" si="29"/>
        <v>1.5659646513594659E-3</v>
      </c>
      <c r="L104" s="137">
        <f t="shared" si="29"/>
        <v>1.6181635033179756E-3</v>
      </c>
      <c r="M104" s="137">
        <f t="shared" si="29"/>
        <v>1.5659646513594659E-3</v>
      </c>
      <c r="N104" s="135"/>
      <c r="O104" s="194">
        <v>2011</v>
      </c>
    </row>
    <row r="105" spans="1:15">
      <c r="A105" s="201" t="s">
        <v>142</v>
      </c>
      <c r="B105" s="149">
        <f t="shared" ref="B105:M105" si="30">B$114*B100/$N$1</f>
        <v>5000</v>
      </c>
      <c r="C105" s="149">
        <f t="shared" si="30"/>
        <v>5000</v>
      </c>
      <c r="D105" s="149">
        <f t="shared" si="30"/>
        <v>5000</v>
      </c>
      <c r="E105" s="149">
        <f t="shared" si="30"/>
        <v>10000</v>
      </c>
      <c r="F105" s="149">
        <f t="shared" si="30"/>
        <v>10000</v>
      </c>
      <c r="G105" s="149">
        <f t="shared" si="30"/>
        <v>10000</v>
      </c>
      <c r="H105" s="149">
        <f t="shared" si="30"/>
        <v>10000</v>
      </c>
      <c r="I105" s="149">
        <f t="shared" si="30"/>
        <v>10000</v>
      </c>
      <c r="J105" s="149">
        <f t="shared" si="30"/>
        <v>10000</v>
      </c>
      <c r="K105" s="149">
        <f t="shared" si="30"/>
        <v>15000</v>
      </c>
      <c r="L105" s="149">
        <f t="shared" si="30"/>
        <v>15000</v>
      </c>
      <c r="M105" s="149">
        <f t="shared" si="30"/>
        <v>15000</v>
      </c>
      <c r="N105" s="202"/>
      <c r="O105" s="194">
        <v>2011</v>
      </c>
    </row>
    <row r="106" spans="1:15">
      <c r="A106" s="200" t="s">
        <v>144</v>
      </c>
      <c r="B106" s="137">
        <f t="shared" ref="B106:M106" si="31">+B105/B93</f>
        <v>8.3479282946351209E-4</v>
      </c>
      <c r="C106" s="137">
        <f t="shared" si="31"/>
        <v>9.242349183346026E-4</v>
      </c>
      <c r="D106" s="137">
        <f t="shared" si="31"/>
        <v>8.3479282946351209E-4</v>
      </c>
      <c r="E106" s="137">
        <f t="shared" si="31"/>
        <v>1.0740884748158476E-3</v>
      </c>
      <c r="F106" s="137">
        <f t="shared" si="31"/>
        <v>1.0394405315283103E-3</v>
      </c>
      <c r="G106" s="137">
        <f t="shared" si="31"/>
        <v>1.0740884748158476E-3</v>
      </c>
      <c r="H106" s="137">
        <f t="shared" si="31"/>
        <v>7.9400217111953676E-4</v>
      </c>
      <c r="I106" s="137">
        <f t="shared" si="31"/>
        <v>7.9400217111953676E-4</v>
      </c>
      <c r="J106" s="137">
        <f t="shared" si="31"/>
        <v>8.204689275289642E-4</v>
      </c>
      <c r="K106" s="137">
        <f t="shared" si="31"/>
        <v>9.3459428794663091E-4</v>
      </c>
      <c r="L106" s="137">
        <f t="shared" si="31"/>
        <v>9.6574744892982624E-4</v>
      </c>
      <c r="M106" s="137">
        <f t="shared" si="31"/>
        <v>9.3459428794663091E-4</v>
      </c>
      <c r="N106" s="135"/>
      <c r="O106" s="194">
        <v>2011</v>
      </c>
    </row>
    <row r="107" spans="1:15" ht="12.75" thickBot="1">
      <c r="A107" s="210"/>
      <c r="B107" s="155"/>
      <c r="C107" s="155"/>
      <c r="D107" s="155"/>
      <c r="E107" s="155"/>
      <c r="F107" s="155"/>
      <c r="G107" s="155"/>
      <c r="H107" s="155"/>
      <c r="I107" s="155"/>
      <c r="J107" s="155"/>
      <c r="K107" s="155"/>
      <c r="L107" s="155"/>
      <c r="M107" s="155"/>
      <c r="N107" s="156"/>
    </row>
    <row r="108" spans="1:15" ht="12.75" thickBot="1">
      <c r="A108" s="215" t="s">
        <v>149</v>
      </c>
      <c r="B108" s="216">
        <f t="shared" ref="B108:M108" si="32">+B97+B67</f>
        <v>218</v>
      </c>
      <c r="C108" s="216">
        <f t="shared" si="32"/>
        <v>218</v>
      </c>
      <c r="D108" s="216">
        <f t="shared" si="32"/>
        <v>218</v>
      </c>
      <c r="E108" s="216">
        <f t="shared" si="32"/>
        <v>226</v>
      </c>
      <c r="F108" s="216">
        <f t="shared" si="32"/>
        <v>232</v>
      </c>
      <c r="G108" s="216">
        <f t="shared" si="32"/>
        <v>232</v>
      </c>
      <c r="H108" s="216">
        <f t="shared" si="32"/>
        <v>230</v>
      </c>
      <c r="I108" s="216">
        <f t="shared" si="32"/>
        <v>230</v>
      </c>
      <c r="J108" s="216">
        <f t="shared" si="32"/>
        <v>230</v>
      </c>
      <c r="K108" s="216">
        <f t="shared" si="32"/>
        <v>230</v>
      </c>
      <c r="L108" s="216">
        <f t="shared" si="32"/>
        <v>226</v>
      </c>
      <c r="M108" s="216">
        <f t="shared" si="32"/>
        <v>222</v>
      </c>
      <c r="N108" s="217"/>
    </row>
    <row r="109" spans="1:15" ht="12.75" thickBot="1">
      <c r="A109" s="215" t="s">
        <v>180</v>
      </c>
      <c r="B109" s="216">
        <f t="shared" ref="B109:M109" si="33">+B82+B52+B37+B22+B7</f>
        <v>177.99199999999999</v>
      </c>
      <c r="C109" s="216">
        <f t="shared" si="33"/>
        <v>177.99199999999999</v>
      </c>
      <c r="D109" s="216">
        <f t="shared" si="33"/>
        <v>177.99199999999999</v>
      </c>
      <c r="E109" s="216">
        <f t="shared" si="33"/>
        <v>183.99199999999999</v>
      </c>
      <c r="F109" s="216">
        <f t="shared" si="33"/>
        <v>183.99199999999999</v>
      </c>
      <c r="G109" s="216">
        <f t="shared" si="33"/>
        <v>183.99199999999999</v>
      </c>
      <c r="H109" s="216">
        <f t="shared" si="33"/>
        <v>189.99199999999999</v>
      </c>
      <c r="I109" s="216">
        <f t="shared" si="33"/>
        <v>203.99199999999999</v>
      </c>
      <c r="J109" s="216">
        <f t="shared" si="33"/>
        <v>229.99199999999999</v>
      </c>
      <c r="K109" s="216">
        <f t="shared" si="33"/>
        <v>171.99199999999999</v>
      </c>
      <c r="L109" s="216">
        <f t="shared" si="33"/>
        <v>195.99199999999999</v>
      </c>
      <c r="M109" s="216">
        <f t="shared" si="33"/>
        <v>199.99199999999999</v>
      </c>
      <c r="N109" s="217"/>
    </row>
    <row r="110" spans="1:15" ht="12.75" thickBot="1">
      <c r="A110" s="215" t="s">
        <v>135</v>
      </c>
      <c r="B110" s="216">
        <f t="shared" ref="B110:M110" si="34">+B98+B83+B68+B53+B38+B23+B8</f>
        <v>18</v>
      </c>
      <c r="C110" s="216">
        <f t="shared" si="34"/>
        <v>18</v>
      </c>
      <c r="D110" s="216">
        <f t="shared" si="34"/>
        <v>19</v>
      </c>
      <c r="E110" s="216">
        <f t="shared" si="34"/>
        <v>20</v>
      </c>
      <c r="F110" s="216">
        <f t="shared" si="34"/>
        <v>20</v>
      </c>
      <c r="G110" s="216">
        <f t="shared" si="34"/>
        <v>20</v>
      </c>
      <c r="H110" s="216">
        <f t="shared" si="34"/>
        <v>24</v>
      </c>
      <c r="I110" s="216">
        <f t="shared" si="34"/>
        <v>24</v>
      </c>
      <c r="J110" s="216">
        <f t="shared" si="34"/>
        <v>24</v>
      </c>
      <c r="K110" s="216">
        <f t="shared" si="34"/>
        <v>25</v>
      </c>
      <c r="L110" s="216">
        <f t="shared" si="34"/>
        <v>25</v>
      </c>
      <c r="M110" s="216">
        <f t="shared" si="34"/>
        <v>25</v>
      </c>
      <c r="N110" s="217"/>
    </row>
    <row r="111" spans="1:15" ht="12.75" thickBot="1">
      <c r="A111" s="215" t="s">
        <v>150</v>
      </c>
      <c r="B111" s="216">
        <f t="shared" ref="B111:M111" si="35">+B99+B84+B69+B54+B39+B24+B9</f>
        <v>35</v>
      </c>
      <c r="C111" s="216">
        <f t="shared" si="35"/>
        <v>35</v>
      </c>
      <c r="D111" s="216">
        <f t="shared" si="35"/>
        <v>35</v>
      </c>
      <c r="E111" s="216">
        <f t="shared" si="35"/>
        <v>39</v>
      </c>
      <c r="F111" s="216">
        <f t="shared" si="35"/>
        <v>39</v>
      </c>
      <c r="G111" s="216">
        <f t="shared" si="35"/>
        <v>39</v>
      </c>
      <c r="H111" s="216">
        <f t="shared" si="35"/>
        <v>44</v>
      </c>
      <c r="I111" s="216">
        <f t="shared" si="35"/>
        <v>46</v>
      </c>
      <c r="J111" s="216">
        <f t="shared" si="35"/>
        <v>46</v>
      </c>
      <c r="K111" s="216">
        <f t="shared" si="35"/>
        <v>48</v>
      </c>
      <c r="L111" s="216">
        <f t="shared" si="35"/>
        <v>48</v>
      </c>
      <c r="M111" s="216">
        <f t="shared" si="35"/>
        <v>48</v>
      </c>
      <c r="N111" s="217"/>
    </row>
    <row r="112" spans="1:15" ht="12.75" thickBot="1">
      <c r="A112" s="215" t="s">
        <v>151</v>
      </c>
      <c r="B112" s="216">
        <v>11</v>
      </c>
      <c r="C112" s="216">
        <v>11</v>
      </c>
      <c r="D112" s="216">
        <v>12</v>
      </c>
      <c r="E112" s="216">
        <v>12</v>
      </c>
      <c r="F112" s="216">
        <v>12</v>
      </c>
      <c r="G112" s="216">
        <v>16</v>
      </c>
      <c r="H112" s="216">
        <v>16</v>
      </c>
      <c r="I112" s="216">
        <v>16</v>
      </c>
      <c r="J112" s="216">
        <v>18</v>
      </c>
      <c r="K112" s="216">
        <v>18</v>
      </c>
      <c r="L112" s="216">
        <v>18</v>
      </c>
      <c r="M112" s="216">
        <v>18</v>
      </c>
      <c r="N112" s="217"/>
    </row>
    <row r="113" spans="1:14">
      <c r="A113" s="200" t="s">
        <v>152</v>
      </c>
      <c r="B113" s="164">
        <v>13000</v>
      </c>
      <c r="C113" s="164">
        <v>13000</v>
      </c>
      <c r="D113" s="164">
        <v>13000</v>
      </c>
      <c r="E113" s="164">
        <v>13000</v>
      </c>
      <c r="F113" s="164">
        <v>13000</v>
      </c>
      <c r="G113" s="164">
        <v>13000</v>
      </c>
      <c r="H113" s="164">
        <v>13000</v>
      </c>
      <c r="I113" s="164">
        <v>13000</v>
      </c>
      <c r="J113" s="164">
        <v>13000</v>
      </c>
      <c r="K113" s="164">
        <v>13000</v>
      </c>
      <c r="L113" s="164">
        <v>13000</v>
      </c>
      <c r="M113" s="164">
        <v>13000</v>
      </c>
      <c r="N113" s="135"/>
    </row>
    <row r="114" spans="1:14">
      <c r="A114" s="200" t="s">
        <v>153</v>
      </c>
      <c r="B114" s="164">
        <v>75000</v>
      </c>
      <c r="C114" s="164">
        <v>75000</v>
      </c>
      <c r="D114" s="164">
        <v>75000</v>
      </c>
      <c r="E114" s="164">
        <v>75000</v>
      </c>
      <c r="F114" s="164">
        <v>75000</v>
      </c>
      <c r="G114" s="164">
        <v>75000</v>
      </c>
      <c r="H114" s="164">
        <v>75000</v>
      </c>
      <c r="I114" s="164">
        <v>75000</v>
      </c>
      <c r="J114" s="164">
        <v>75000</v>
      </c>
      <c r="K114" s="164">
        <v>75000</v>
      </c>
      <c r="L114" s="164">
        <v>75000</v>
      </c>
      <c r="M114" s="164">
        <v>75000</v>
      </c>
      <c r="N114" s="135"/>
    </row>
    <row r="115" spans="1:14">
      <c r="A115" s="200" t="s">
        <v>154</v>
      </c>
      <c r="B115" s="147">
        <f t="shared" ref="B115:M115" si="36">+SUM(B100,B70,B55,B40,B25)</f>
        <v>19</v>
      </c>
      <c r="C115" s="147">
        <f t="shared" si="36"/>
        <v>19</v>
      </c>
      <c r="D115" s="147">
        <f t="shared" si="36"/>
        <v>19</v>
      </c>
      <c r="E115" s="147">
        <f t="shared" si="36"/>
        <v>21</v>
      </c>
      <c r="F115" s="147">
        <f t="shared" si="36"/>
        <v>21</v>
      </c>
      <c r="G115" s="147">
        <f t="shared" si="36"/>
        <v>21</v>
      </c>
      <c r="H115" s="147">
        <f t="shared" si="36"/>
        <v>21</v>
      </c>
      <c r="I115" s="147">
        <f t="shared" si="36"/>
        <v>21</v>
      </c>
      <c r="J115" s="147">
        <f t="shared" si="36"/>
        <v>21</v>
      </c>
      <c r="K115" s="147">
        <f t="shared" si="36"/>
        <v>23</v>
      </c>
      <c r="L115" s="147">
        <f t="shared" si="36"/>
        <v>23</v>
      </c>
      <c r="M115" s="147">
        <f t="shared" si="36"/>
        <v>23</v>
      </c>
      <c r="N115" s="135"/>
    </row>
    <row r="116" spans="1:14">
      <c r="A116" s="194" t="s">
        <v>181</v>
      </c>
      <c r="B116" s="194">
        <v>24</v>
      </c>
      <c r="C116" s="194">
        <v>23</v>
      </c>
      <c r="D116" s="194">
        <v>27</v>
      </c>
      <c r="E116" s="194">
        <v>22</v>
      </c>
      <c r="F116" s="194">
        <v>24</v>
      </c>
      <c r="G116" s="194">
        <v>26</v>
      </c>
      <c r="H116" s="194">
        <v>24</v>
      </c>
      <c r="I116" s="194">
        <v>26</v>
      </c>
      <c r="J116" s="194">
        <v>26</v>
      </c>
      <c r="K116" s="194">
        <v>26</v>
      </c>
      <c r="L116" s="194">
        <v>26</v>
      </c>
      <c r="M116" s="194">
        <v>24</v>
      </c>
      <c r="N116" s="194">
        <f>+SUM(B116:M116)</f>
        <v>298</v>
      </c>
    </row>
    <row r="118" spans="1:14">
      <c r="A118" s="218" t="s">
        <v>182</v>
      </c>
      <c r="B118" s="219">
        <f t="shared" ref="B118:M118" si="37">+(B103+B73+B58+B43+B28)</f>
        <v>194563.20000000001</v>
      </c>
      <c r="C118" s="219">
        <f t="shared" si="37"/>
        <v>194563.20000000001</v>
      </c>
      <c r="D118" s="219">
        <f t="shared" si="37"/>
        <v>194996.53333333333</v>
      </c>
      <c r="E118" s="219">
        <f t="shared" si="37"/>
        <v>203229.86666666667</v>
      </c>
      <c r="F118" s="219">
        <f t="shared" si="37"/>
        <v>205829.86666666667</v>
      </c>
      <c r="G118" s="219">
        <f t="shared" si="37"/>
        <v>205829.86666666667</v>
      </c>
      <c r="H118" s="219">
        <f t="shared" si="37"/>
        <v>206696.53333333333</v>
      </c>
      <c r="I118" s="219">
        <f t="shared" si="37"/>
        <v>213629.86666666664</v>
      </c>
      <c r="J118" s="219">
        <f t="shared" si="37"/>
        <v>223163.2</v>
      </c>
      <c r="K118" s="219">
        <f t="shared" si="37"/>
        <v>199329.86666666664</v>
      </c>
      <c r="L118" s="219">
        <f t="shared" si="37"/>
        <v>207996.53333333333</v>
      </c>
      <c r="M118" s="219">
        <f t="shared" si="37"/>
        <v>207996.53333333333</v>
      </c>
    </row>
    <row r="119" spans="1:14">
      <c r="A119" s="218" t="s">
        <v>183</v>
      </c>
      <c r="B119" s="220">
        <f t="shared" ref="B119:M119" si="38">+SUM(B93,B63,B48,B33,B18)</f>
        <v>51172333</v>
      </c>
      <c r="C119" s="220">
        <f t="shared" si="38"/>
        <v>45834940</v>
      </c>
      <c r="D119" s="220">
        <f t="shared" si="38"/>
        <v>50364287</v>
      </c>
      <c r="E119" s="220">
        <f t="shared" si="38"/>
        <v>55166436</v>
      </c>
      <c r="F119" s="220">
        <f t="shared" si="38"/>
        <v>56948827</v>
      </c>
      <c r="G119" s="220">
        <f t="shared" si="38"/>
        <v>56468436</v>
      </c>
      <c r="H119" s="220">
        <f t="shared" si="38"/>
        <v>62316207</v>
      </c>
      <c r="I119" s="220">
        <f t="shared" si="38"/>
        <v>63618207</v>
      </c>
      <c r="J119" s="220">
        <f t="shared" si="38"/>
        <v>64987980</v>
      </c>
      <c r="K119" s="220">
        <f t="shared" si="38"/>
        <v>68050661</v>
      </c>
      <c r="L119" s="220">
        <f t="shared" si="38"/>
        <v>66006796</v>
      </c>
      <c r="M119" s="220">
        <f t="shared" si="38"/>
        <v>68350661</v>
      </c>
    </row>
    <row r="120" spans="1:14">
      <c r="A120" s="200" t="s">
        <v>184</v>
      </c>
      <c r="B120" s="137">
        <f t="shared" ref="B120:M120" si="39">+B118/B119</f>
        <v>3.8021170541511174E-3</v>
      </c>
      <c r="C120" s="137">
        <f t="shared" si="39"/>
        <v>4.2448664708626214E-3</v>
      </c>
      <c r="D120" s="137">
        <f t="shared" si="39"/>
        <v>3.8717223046031272E-3</v>
      </c>
      <c r="E120" s="137">
        <f t="shared" si="39"/>
        <v>3.6839404790743897E-3</v>
      </c>
      <c r="F120" s="137">
        <f t="shared" si="39"/>
        <v>3.6142951050891123E-3</v>
      </c>
      <c r="G120" s="137">
        <f t="shared" si="39"/>
        <v>3.6450428105830072E-3</v>
      </c>
      <c r="H120" s="137">
        <f t="shared" si="39"/>
        <v>3.3168984969405044E-3</v>
      </c>
      <c r="I120" s="137">
        <f t="shared" si="39"/>
        <v>3.3579988613427385E-3</v>
      </c>
      <c r="J120" s="137">
        <f t="shared" si="39"/>
        <v>3.4339150101295656E-3</v>
      </c>
      <c r="K120" s="137">
        <f t="shared" si="39"/>
        <v>2.9291393167608856E-3</v>
      </c>
      <c r="L120" s="137">
        <f t="shared" si="39"/>
        <v>3.1511381545217456E-3</v>
      </c>
      <c r="M120" s="137">
        <f t="shared" si="39"/>
        <v>3.0430800564362256E-3</v>
      </c>
    </row>
    <row r="127" spans="1:14">
      <c r="A127" s="194" t="s">
        <v>204</v>
      </c>
      <c r="D127" s="194" t="s">
        <v>163</v>
      </c>
      <c r="G127" s="194" t="s">
        <v>164</v>
      </c>
      <c r="J127" s="194" t="s">
        <v>165</v>
      </c>
      <c r="M127" s="194" t="s">
        <v>166</v>
      </c>
    </row>
    <row r="128" spans="1:14">
      <c r="B128" s="221" t="s">
        <v>189</v>
      </c>
      <c r="D128" s="194" t="s">
        <v>205</v>
      </c>
      <c r="G128" s="194" t="s">
        <v>205</v>
      </c>
      <c r="J128" s="194" t="s">
        <v>205</v>
      </c>
      <c r="M128" s="194" t="s">
        <v>205</v>
      </c>
    </row>
    <row r="129" spans="1:15">
      <c r="A129" s="194" t="s">
        <v>185</v>
      </c>
      <c r="B129" s="221"/>
      <c r="D129" s="222" t="s">
        <v>87</v>
      </c>
      <c r="G129" s="222" t="s">
        <v>87</v>
      </c>
      <c r="J129" s="222">
        <f>SUM(H3:J3)</f>
        <v>5912746</v>
      </c>
      <c r="M129" s="222">
        <f>SUM(K3:M3)</f>
        <v>9810011</v>
      </c>
      <c r="N129" s="221"/>
    </row>
    <row r="130" spans="1:15">
      <c r="A130" s="194" t="s">
        <v>157</v>
      </c>
      <c r="B130" s="165">
        <v>37611.891000000003</v>
      </c>
      <c r="D130" s="222">
        <f>SUM(B18:D18)</f>
        <v>35843749</v>
      </c>
      <c r="G130" s="222">
        <f>SUM(E18:G18)</f>
        <v>35492300</v>
      </c>
      <c r="J130" s="222">
        <f>SUM(H18:J18)</f>
        <v>37826940</v>
      </c>
      <c r="M130" s="222">
        <f>SUM(K18:M18)</f>
        <v>43320206</v>
      </c>
    </row>
    <row r="131" spans="1:15">
      <c r="A131" s="194" t="s">
        <v>187</v>
      </c>
      <c r="B131" s="165">
        <v>33225.471999999994</v>
      </c>
      <c r="D131" s="222">
        <f>SUM(B33:D33)+SUM(B48:D48)</f>
        <v>37634211</v>
      </c>
      <c r="G131" s="222">
        <f>SUM(E33:G33)+SUM(E48:G48)</f>
        <v>41561198</v>
      </c>
      <c r="J131" s="222">
        <f>SUM(H33:J33)+SUM(H48:J48)</f>
        <v>41640655</v>
      </c>
      <c r="M131" s="222">
        <f>SUM(K33:M33)+SUM(K48:M48)</f>
        <v>37587971</v>
      </c>
    </row>
    <row r="132" spans="1:15">
      <c r="A132" s="194" t="s">
        <v>158</v>
      </c>
      <c r="B132" s="165">
        <v>51431.601999999999</v>
      </c>
      <c r="D132" s="222">
        <f>SUM(B63:D63)</f>
        <v>56504700</v>
      </c>
      <c r="G132" s="222">
        <f>SUM(E63:G63)</f>
        <v>63289201</v>
      </c>
      <c r="J132" s="222">
        <f>SUM(H63:J63)</f>
        <v>74077799</v>
      </c>
      <c r="M132" s="222">
        <f>SUM(K63:M63)</f>
        <v>73868440</v>
      </c>
    </row>
    <row r="133" spans="1:15">
      <c r="A133" s="194" t="s">
        <v>159</v>
      </c>
      <c r="B133" s="165">
        <v>4120.4569999999994</v>
      </c>
      <c r="D133" s="222">
        <f>SUM(B93:D93)</f>
        <v>17388900</v>
      </c>
      <c r="G133" s="222">
        <f>SUM(E93:G93)</f>
        <v>28241000</v>
      </c>
      <c r="J133" s="222">
        <f>SUM(H93:J93)</f>
        <v>37377000</v>
      </c>
      <c r="M133" s="222">
        <f>SUM(K93:M93)</f>
        <v>47631501</v>
      </c>
    </row>
    <row r="134" spans="1:15">
      <c r="A134" s="194" t="s">
        <v>186</v>
      </c>
      <c r="B134" s="171"/>
      <c r="D134" s="222" t="s">
        <v>87</v>
      </c>
      <c r="G134" s="222"/>
      <c r="J134" s="222">
        <f>SUM(H78:J78)</f>
        <v>10570750</v>
      </c>
      <c r="M134" s="222">
        <f>SUM(K78:M78)</f>
        <v>14575500</v>
      </c>
    </row>
    <row r="135" spans="1:15">
      <c r="B135" s="166">
        <v>126389.42199999999</v>
      </c>
    </row>
    <row r="136" spans="1:15">
      <c r="A136" s="194" t="s">
        <v>160</v>
      </c>
      <c r="B136" s="221"/>
      <c r="G136" s="194" t="s">
        <v>164</v>
      </c>
      <c r="N136" s="221"/>
    </row>
    <row r="137" spans="1:15">
      <c r="B137" s="221" t="s">
        <v>162</v>
      </c>
      <c r="D137" s="194" t="s">
        <v>163</v>
      </c>
      <c r="E137" s="194" t="s">
        <v>156</v>
      </c>
      <c r="G137" s="194" t="s">
        <v>206</v>
      </c>
      <c r="H137" s="194" t="s">
        <v>156</v>
      </c>
      <c r="J137" s="194" t="s">
        <v>165</v>
      </c>
      <c r="K137" s="194" t="s">
        <v>156</v>
      </c>
      <c r="M137" s="194" t="s">
        <v>166</v>
      </c>
      <c r="N137" s="221" t="s">
        <v>156</v>
      </c>
    </row>
    <row r="138" spans="1:15">
      <c r="A138" s="194" t="s">
        <v>185</v>
      </c>
      <c r="B138" s="221"/>
      <c r="D138" s="221" t="s">
        <v>87</v>
      </c>
      <c r="N138" s="221"/>
    </row>
    <row r="139" spans="1:15">
      <c r="A139" s="194" t="s">
        <v>157</v>
      </c>
      <c r="B139" s="169">
        <v>0.98592966251018865</v>
      </c>
      <c r="D139" s="223">
        <v>0.97</v>
      </c>
      <c r="E139" s="224">
        <v>0.99109999999999998</v>
      </c>
      <c r="G139" s="225">
        <v>0.98499999999999999</v>
      </c>
      <c r="H139" s="167"/>
      <c r="J139" s="168"/>
      <c r="K139" s="226"/>
      <c r="L139" s="227"/>
      <c r="M139" s="228"/>
    </row>
    <row r="140" spans="1:15">
      <c r="A140" s="194" t="s">
        <v>187</v>
      </c>
      <c r="B140" s="169">
        <v>0.91032602937890583</v>
      </c>
      <c r="D140" s="223">
        <v>0.91900000000000004</v>
      </c>
      <c r="E140" s="224">
        <v>0.94730000000000003</v>
      </c>
      <c r="G140" s="225">
        <v>0.95</v>
      </c>
      <c r="H140" s="167"/>
      <c r="J140" s="168"/>
      <c r="K140" s="226"/>
      <c r="L140" s="227"/>
      <c r="M140" s="228"/>
    </row>
    <row r="141" spans="1:15">
      <c r="A141" s="194" t="s">
        <v>158</v>
      </c>
      <c r="B141" s="169">
        <v>0.93162289597745762</v>
      </c>
      <c r="D141" s="223">
        <v>0.92800000000000005</v>
      </c>
      <c r="E141" s="224">
        <v>0.93220000000000003</v>
      </c>
      <c r="G141" s="225">
        <v>0.93500000000000005</v>
      </c>
      <c r="H141" s="167"/>
      <c r="J141" s="168"/>
      <c r="K141" s="226"/>
      <c r="L141" s="227"/>
      <c r="M141" s="228"/>
    </row>
    <row r="142" spans="1:15">
      <c r="A142" s="194" t="s">
        <v>159</v>
      </c>
      <c r="B142" s="169">
        <v>0.98673108346962513</v>
      </c>
      <c r="D142" s="223">
        <v>0.98</v>
      </c>
      <c r="E142" s="224">
        <v>0.98280000000000001</v>
      </c>
      <c r="G142" s="225">
        <v>0.98499999999999999</v>
      </c>
      <c r="H142" s="167"/>
      <c r="J142" s="167"/>
      <c r="K142" s="226"/>
      <c r="L142" s="227"/>
      <c r="M142" s="228"/>
    </row>
    <row r="143" spans="1:15">
      <c r="A143" s="194" t="s">
        <v>186</v>
      </c>
      <c r="B143" s="174"/>
      <c r="D143" s="229" t="s">
        <v>87</v>
      </c>
      <c r="E143" s="224"/>
      <c r="G143" s="225" t="s">
        <v>207</v>
      </c>
      <c r="H143" s="167"/>
      <c r="J143" s="167"/>
      <c r="K143" s="226"/>
      <c r="L143" s="227"/>
      <c r="M143" s="228"/>
    </row>
    <row r="144" spans="1:15">
      <c r="A144" s="194" t="s">
        <v>161</v>
      </c>
      <c r="B144" s="230">
        <v>0.94299765537573887</v>
      </c>
      <c r="D144" s="175">
        <f>+SUM(D129:D134)/(D130/D139+D131/D140+D132/D141+D133/D142)</f>
        <v>0.94145448817448074</v>
      </c>
      <c r="E144" s="175">
        <v>0.95520000000000005</v>
      </c>
      <c r="G144" s="175">
        <f>+SUM(G129:G134)/(G130/G139+G131/G140+G132/G141+G133/G142)</f>
        <v>0.95709259570265448</v>
      </c>
      <c r="H144" s="167"/>
      <c r="J144" s="176" t="e">
        <f>+SUM(J$129:J$134)/(J$129/J138+J$130/J139+J$131/J140+J$132/J141+J$133/J142+J$134/J143)</f>
        <v>#DIV/0!</v>
      </c>
      <c r="K144" s="226"/>
      <c r="L144" s="227"/>
      <c r="M144" s="176" t="e">
        <f>+SUM(M$129:M$134)/(M$129/M138+M$130/M139+M$131/M140+M$132/M141+M$133/M142+M$134/M143)</f>
        <v>#DIV/0!</v>
      </c>
      <c r="O144" s="231"/>
    </row>
    <row r="145" spans="1:15">
      <c r="B145" s="221"/>
      <c r="D145" s="221"/>
      <c r="E145" s="232"/>
      <c r="N145" s="221"/>
    </row>
    <row r="146" spans="1:15">
      <c r="B146" s="221"/>
      <c r="D146" s="221"/>
      <c r="N146" s="221"/>
    </row>
    <row r="147" spans="1:15">
      <c r="A147" s="194" t="s">
        <v>208</v>
      </c>
      <c r="B147" s="221"/>
      <c r="D147" s="221"/>
      <c r="G147" s="194" t="s">
        <v>164</v>
      </c>
      <c r="H147" s="194" t="s">
        <v>156</v>
      </c>
      <c r="N147" s="221"/>
    </row>
    <row r="148" spans="1:15">
      <c r="B148" s="221" t="s">
        <v>162</v>
      </c>
      <c r="D148" s="233" t="s">
        <v>163</v>
      </c>
      <c r="E148" s="194" t="s">
        <v>156</v>
      </c>
      <c r="G148" s="194" t="s">
        <v>206</v>
      </c>
      <c r="J148" s="194" t="s">
        <v>165</v>
      </c>
      <c r="K148" s="194" t="s">
        <v>156</v>
      </c>
      <c r="M148" s="194" t="s">
        <v>166</v>
      </c>
      <c r="N148" s="221" t="s">
        <v>156</v>
      </c>
    </row>
    <row r="149" spans="1:15">
      <c r="A149" s="194" t="s">
        <v>185</v>
      </c>
      <c r="B149" s="221"/>
      <c r="D149" s="221" t="s">
        <v>87</v>
      </c>
      <c r="N149" s="221"/>
    </row>
    <row r="150" spans="1:15">
      <c r="A150" s="194" t="s">
        <v>157</v>
      </c>
      <c r="B150" s="169">
        <v>0.97415662817124182</v>
      </c>
      <c r="D150" s="223">
        <v>0.95</v>
      </c>
      <c r="E150" s="224">
        <v>0.99329999999999996</v>
      </c>
      <c r="G150" s="225">
        <v>0.98299999999999998</v>
      </c>
      <c r="H150" s="167"/>
      <c r="J150" s="234"/>
      <c r="K150" s="226"/>
      <c r="L150" s="227"/>
      <c r="M150" s="226"/>
    </row>
    <row r="151" spans="1:15">
      <c r="A151" s="194" t="s">
        <v>188</v>
      </c>
      <c r="B151" s="169">
        <v>0.78337559613487329</v>
      </c>
      <c r="D151" s="223">
        <v>0.79</v>
      </c>
      <c r="E151" s="224">
        <v>0.84330000000000005</v>
      </c>
      <c r="G151" s="225">
        <v>0.85</v>
      </c>
      <c r="H151" s="167"/>
      <c r="J151" s="224"/>
      <c r="K151" s="226"/>
      <c r="L151" s="227"/>
      <c r="M151" s="228"/>
    </row>
    <row r="152" spans="1:15">
      <c r="A152" s="194" t="s">
        <v>158</v>
      </c>
      <c r="B152" s="169">
        <v>0.78751330747970871</v>
      </c>
      <c r="D152" s="223">
        <v>0.79</v>
      </c>
      <c r="E152" s="224">
        <v>0.78480000000000005</v>
      </c>
      <c r="G152" s="225">
        <v>0.81</v>
      </c>
      <c r="H152" s="167"/>
      <c r="J152" s="234"/>
      <c r="K152" s="226"/>
      <c r="L152" s="227"/>
      <c r="M152" s="228"/>
    </row>
    <row r="153" spans="1:15">
      <c r="A153" s="194" t="s">
        <v>159</v>
      </c>
      <c r="B153" s="169">
        <v>0.99033919531763159</v>
      </c>
      <c r="D153" s="223">
        <v>0.98</v>
      </c>
      <c r="E153" s="224">
        <v>0.99019999999999997</v>
      </c>
      <c r="G153" s="225">
        <v>0.98299999999999998</v>
      </c>
      <c r="H153" s="167"/>
      <c r="J153" s="234"/>
      <c r="K153" s="226"/>
      <c r="L153" s="227"/>
      <c r="M153" s="226"/>
    </row>
    <row r="154" spans="1:15">
      <c r="A154" s="194" t="s">
        <v>186</v>
      </c>
      <c r="B154" s="174"/>
      <c r="D154" s="229" t="s">
        <v>87</v>
      </c>
      <c r="E154" s="224"/>
      <c r="G154" s="225"/>
      <c r="H154" s="167"/>
      <c r="J154" s="234"/>
      <c r="K154" s="226"/>
      <c r="L154" s="227"/>
      <c r="M154" s="226"/>
    </row>
    <row r="155" spans="1:15">
      <c r="A155" s="194" t="s">
        <v>161</v>
      </c>
      <c r="B155" s="170">
        <v>0.83983910593138966</v>
      </c>
      <c r="D155" s="175">
        <f>+SUM(D129:D134)/(D130/D150+D131/D151+D132/D152+D133/D153)</f>
        <v>0.84387259081468213</v>
      </c>
      <c r="E155" s="224">
        <v>0.86919999999999997</v>
      </c>
      <c r="G155" s="175">
        <f>+SUM(G129:G134)/(G130/G150+G131/G151+G132/G152+G133/G153)</f>
        <v>0.87865402794207081</v>
      </c>
      <c r="H155" s="167"/>
      <c r="J155" s="176" t="e">
        <f>+SUM(J$129:J$134)/(J$129/J149+J$130/J150+J$131/J151+J$132/J152+J$133/J153+J$134/J154)</f>
        <v>#DIV/0!</v>
      </c>
      <c r="K155" s="226"/>
      <c r="L155" s="227"/>
      <c r="M155" s="176" t="e">
        <f>+SUM(M$129:M$134)/(M$129/M149+M$130/M150+M$131/M151+M$132/M152+M$133/M153+M$134/M154)</f>
        <v>#DIV/0!</v>
      </c>
      <c r="O155" s="231"/>
    </row>
    <row r="156" spans="1:15">
      <c r="A156" s="235"/>
      <c r="B156" s="235"/>
      <c r="C156" s="235"/>
      <c r="D156" s="235"/>
      <c r="E156" s="235"/>
      <c r="F156" s="235"/>
      <c r="G156" s="235"/>
      <c r="H156" s="235"/>
      <c r="I156" s="235"/>
      <c r="J156" s="235"/>
      <c r="K156" s="235"/>
      <c r="L156" s="235"/>
      <c r="M156" s="235"/>
      <c r="N156" s="235"/>
    </row>
    <row r="157" spans="1:15">
      <c r="A157" s="236" t="s">
        <v>209</v>
      </c>
    </row>
    <row r="159" spans="1:15">
      <c r="A159" s="194" t="s">
        <v>155</v>
      </c>
      <c r="D159" s="194" t="s">
        <v>163</v>
      </c>
      <c r="G159" s="194" t="s">
        <v>164</v>
      </c>
      <c r="J159" s="194" t="s">
        <v>165</v>
      </c>
      <c r="M159" s="194" t="s">
        <v>166</v>
      </c>
      <c r="N159" s="221" t="s">
        <v>156</v>
      </c>
    </row>
    <row r="160" spans="1:15">
      <c r="B160" s="221" t="s">
        <v>189</v>
      </c>
      <c r="D160" s="194" t="s">
        <v>210</v>
      </c>
      <c r="G160" s="237" t="s">
        <v>215</v>
      </c>
      <c r="H160" s="194" t="s">
        <v>216</v>
      </c>
      <c r="J160" s="194" t="s">
        <v>217</v>
      </c>
      <c r="M160" s="194" t="s">
        <v>218</v>
      </c>
      <c r="N160" s="221"/>
    </row>
    <row r="161" spans="1:15">
      <c r="A161" s="194" t="s">
        <v>185</v>
      </c>
      <c r="B161" s="221"/>
      <c r="D161" s="222" t="s">
        <v>87</v>
      </c>
      <c r="G161" s="222" t="s">
        <v>87</v>
      </c>
      <c r="J161" s="222">
        <f>SUM(H35:J35)</f>
        <v>5.2382974889635385E-2</v>
      </c>
      <c r="M161" s="222">
        <f>SUM(K35:M35)</f>
        <v>5.2090332571816181E-2</v>
      </c>
      <c r="N161" s="221"/>
    </row>
    <row r="162" spans="1:15">
      <c r="A162" s="194" t="s">
        <v>157</v>
      </c>
      <c r="B162" s="165">
        <v>37611.891000000003</v>
      </c>
      <c r="D162" s="222">
        <v>36264400</v>
      </c>
      <c r="G162" s="222">
        <v>48095745.785695791</v>
      </c>
      <c r="H162" s="244">
        <v>42842712</v>
      </c>
      <c r="J162" s="222">
        <v>49759451</v>
      </c>
      <c r="M162" s="222">
        <f>SUM(K50:M50)</f>
        <v>0.15177809388335706</v>
      </c>
    </row>
    <row r="163" spans="1:15">
      <c r="A163" s="194" t="s">
        <v>187</v>
      </c>
      <c r="B163" s="165">
        <v>33225.471999999994</v>
      </c>
      <c r="D163" s="222">
        <v>38467371</v>
      </c>
      <c r="G163" s="222">
        <v>43499370</v>
      </c>
      <c r="H163" s="244">
        <f>41682728+948142</f>
        <v>42630870</v>
      </c>
      <c r="J163" s="222">
        <v>62929024</v>
      </c>
      <c r="M163" s="222">
        <f>SUM(K65:M65)+SUM(K80:M80)</f>
        <v>0.12519863137162307</v>
      </c>
    </row>
    <row r="164" spans="1:15">
      <c r="A164" s="194" t="s">
        <v>158</v>
      </c>
      <c r="B164" s="165">
        <v>51431.601999999999</v>
      </c>
      <c r="D164" s="222">
        <v>49294400</v>
      </c>
      <c r="G164" s="222">
        <v>34075370.729840994</v>
      </c>
      <c r="H164" s="244">
        <v>33971875</v>
      </c>
      <c r="J164" s="222">
        <v>34194536</v>
      </c>
      <c r="M164" s="222">
        <f>SUM(K95:M95)</f>
        <v>1.1130000000000001E-2</v>
      </c>
    </row>
    <row r="165" spans="1:15">
      <c r="A165" s="194" t="s">
        <v>159</v>
      </c>
      <c r="B165" s="165">
        <v>4120.4569999999994</v>
      </c>
      <c r="D165" s="222">
        <v>9568811</v>
      </c>
      <c r="G165" s="222">
        <v>16447224</v>
      </c>
      <c r="H165" s="244">
        <v>14096450</v>
      </c>
      <c r="J165" s="222">
        <v>18990223</v>
      </c>
      <c r="M165" s="222">
        <f>SUM(K125:M125)</f>
        <v>0</v>
      </c>
    </row>
    <row r="166" spans="1:15">
      <c r="A166" s="194" t="s">
        <v>186</v>
      </c>
      <c r="B166" s="171"/>
      <c r="D166" s="222" t="s">
        <v>87</v>
      </c>
      <c r="G166" s="222"/>
      <c r="J166" s="222"/>
      <c r="M166" s="222"/>
    </row>
    <row r="167" spans="1:15">
      <c r="B167" s="166">
        <v>126389.42199999999</v>
      </c>
      <c r="I167" s="245"/>
      <c r="K167" s="245"/>
    </row>
    <row r="168" spans="1:15">
      <c r="A168" s="194" t="s">
        <v>160</v>
      </c>
      <c r="B168" s="221"/>
      <c r="G168" s="194" t="s">
        <v>164</v>
      </c>
      <c r="I168" s="245"/>
      <c r="J168" s="194" t="s">
        <v>165</v>
      </c>
      <c r="K168" s="245"/>
      <c r="M168" s="194" t="s">
        <v>166</v>
      </c>
      <c r="N168" s="221" t="s">
        <v>156</v>
      </c>
    </row>
    <row r="169" spans="1:15">
      <c r="B169" s="221" t="s">
        <v>162</v>
      </c>
      <c r="D169" s="194" t="s">
        <v>163</v>
      </c>
      <c r="E169" s="194" t="s">
        <v>156</v>
      </c>
      <c r="G169" s="239" t="s">
        <v>206</v>
      </c>
      <c r="H169" s="194" t="s">
        <v>156</v>
      </c>
      <c r="I169" s="245"/>
      <c r="J169" s="246" t="s">
        <v>219</v>
      </c>
      <c r="K169" s="246" t="s">
        <v>220</v>
      </c>
      <c r="N169" s="221"/>
    </row>
    <row r="170" spans="1:15">
      <c r="A170" s="194" t="s">
        <v>185</v>
      </c>
      <c r="B170" s="221"/>
      <c r="D170" s="221" t="s">
        <v>87</v>
      </c>
      <c r="G170" s="239"/>
      <c r="I170" s="245"/>
      <c r="J170" s="246"/>
      <c r="K170" s="246"/>
      <c r="N170" s="221"/>
    </row>
    <row r="171" spans="1:15">
      <c r="A171" s="194" t="s">
        <v>157</v>
      </c>
      <c r="B171" s="169">
        <v>0.98592966251018865</v>
      </c>
      <c r="D171" s="223">
        <v>0.97</v>
      </c>
      <c r="E171" s="224">
        <v>0.99109999999999998</v>
      </c>
      <c r="G171" s="240">
        <v>0.98499999999999999</v>
      </c>
      <c r="H171" s="167">
        <v>0.96699999999999997</v>
      </c>
      <c r="I171" s="245"/>
      <c r="J171" s="247">
        <v>0.98299999999999998</v>
      </c>
      <c r="K171" s="248">
        <v>0.01</v>
      </c>
      <c r="L171" s="227"/>
      <c r="M171" s="228"/>
    </row>
    <row r="172" spans="1:15">
      <c r="A172" s="194" t="s">
        <v>187</v>
      </c>
      <c r="B172" s="169">
        <v>0.91032602937890583</v>
      </c>
      <c r="D172" s="223">
        <v>0.91900000000000004</v>
      </c>
      <c r="E172" s="224">
        <v>0.94730000000000003</v>
      </c>
      <c r="G172" s="240">
        <v>0.95</v>
      </c>
      <c r="H172" s="167">
        <v>0.94</v>
      </c>
      <c r="I172" s="245"/>
      <c r="J172" s="247">
        <v>0.94499999999999995</v>
      </c>
      <c r="K172" s="248">
        <v>1.4999999999999999E-2</v>
      </c>
      <c r="L172" s="227"/>
      <c r="M172" s="228"/>
    </row>
    <row r="173" spans="1:15">
      <c r="A173" s="194" t="s">
        <v>158</v>
      </c>
      <c r="B173" s="169">
        <v>0.93162289597745762</v>
      </c>
      <c r="D173" s="223">
        <v>0.92800000000000005</v>
      </c>
      <c r="E173" s="224">
        <v>0.93220000000000003</v>
      </c>
      <c r="G173" s="240">
        <v>0.93500000000000005</v>
      </c>
      <c r="H173" s="167">
        <v>0.92600000000000005</v>
      </c>
      <c r="I173" s="245"/>
      <c r="J173" s="247">
        <v>0.93</v>
      </c>
      <c r="K173" s="248">
        <v>5.0000000000000001E-3</v>
      </c>
      <c r="L173" s="227"/>
      <c r="M173" s="228"/>
    </row>
    <row r="174" spans="1:15">
      <c r="A174" s="194" t="s">
        <v>159</v>
      </c>
      <c r="B174" s="169">
        <v>0.98673108346962513</v>
      </c>
      <c r="D174" s="223">
        <v>0.98</v>
      </c>
      <c r="E174" s="224">
        <v>0.98280000000000001</v>
      </c>
      <c r="G174" s="240">
        <v>0.98499999999999999</v>
      </c>
      <c r="H174" s="167">
        <v>0.98099999999999998</v>
      </c>
      <c r="I174" s="245"/>
      <c r="J174" s="247">
        <v>0.98</v>
      </c>
      <c r="K174" s="248">
        <v>1.4E-2</v>
      </c>
      <c r="L174" s="227"/>
      <c r="M174" s="228"/>
    </row>
    <row r="175" spans="1:15">
      <c r="A175" s="194" t="s">
        <v>186</v>
      </c>
      <c r="B175" s="174"/>
      <c r="D175" s="229" t="s">
        <v>87</v>
      </c>
      <c r="E175" s="224"/>
      <c r="G175" s="240" t="s">
        <v>207</v>
      </c>
      <c r="H175" s="167"/>
      <c r="I175" s="245"/>
      <c r="J175" s="249"/>
      <c r="K175" s="250"/>
      <c r="L175" s="227"/>
      <c r="M175" s="228"/>
    </row>
    <row r="176" spans="1:15">
      <c r="A176" s="194" t="s">
        <v>161</v>
      </c>
      <c r="B176" s="230">
        <v>0.94299765537573887</v>
      </c>
      <c r="D176" s="175">
        <f>+SUM(D161:D166)/(D162/D171+D163/D172+D164/D173+D165/D174)</f>
        <v>0.93996974888531559</v>
      </c>
      <c r="E176" s="175">
        <v>0.95520000000000005</v>
      </c>
      <c r="G176" s="241">
        <f>+SUM(G161:G166)/(G162/G171+G163/G172+G164/G173+G165/G174)</f>
        <v>0.9618215629618575</v>
      </c>
      <c r="H176" s="251">
        <v>0.94899999999999995</v>
      </c>
      <c r="I176" s="245"/>
      <c r="J176" s="252">
        <f>+SUM(J161:J166)/(J162/J171+J163/J172+J164/J173+J165/J174)</f>
        <v>0.95682674782471011</v>
      </c>
      <c r="K176" s="250"/>
      <c r="L176" s="227"/>
      <c r="M176" s="176" t="e">
        <f>+SUM(M$129:M$134)/(M$129/M170+M$130/M171+M$131/M172+M$132/M173+M$133/M174+M$134/M175)</f>
        <v>#DIV/0!</v>
      </c>
      <c r="O176" s="231"/>
    </row>
    <row r="177" spans="1:15">
      <c r="B177" s="221"/>
      <c r="D177" s="221"/>
      <c r="E177" s="232"/>
      <c r="G177" s="239"/>
      <c r="I177" s="245"/>
      <c r="J177" s="246"/>
      <c r="K177" s="246"/>
      <c r="N177" s="221"/>
    </row>
    <row r="178" spans="1:15">
      <c r="B178" s="221"/>
      <c r="D178" s="221"/>
      <c r="G178" s="239"/>
      <c r="I178" s="245"/>
      <c r="K178" s="245"/>
      <c r="N178" s="221"/>
    </row>
    <row r="179" spans="1:15">
      <c r="A179" s="194" t="s">
        <v>208</v>
      </c>
      <c r="B179" s="221"/>
      <c r="D179" s="221"/>
      <c r="G179" s="239" t="s">
        <v>164</v>
      </c>
      <c r="H179" s="194" t="s">
        <v>156</v>
      </c>
      <c r="I179" s="245"/>
      <c r="K179" s="245"/>
      <c r="N179" s="221"/>
    </row>
    <row r="180" spans="1:15">
      <c r="B180" s="221" t="s">
        <v>162</v>
      </c>
      <c r="D180" s="233" t="s">
        <v>163</v>
      </c>
      <c r="E180" s="194" t="s">
        <v>156</v>
      </c>
      <c r="G180" s="239" t="s">
        <v>206</v>
      </c>
      <c r="I180" s="245"/>
      <c r="J180" s="246" t="s">
        <v>165</v>
      </c>
      <c r="K180" s="245"/>
      <c r="M180" s="194" t="s">
        <v>166</v>
      </c>
      <c r="N180" s="221" t="s">
        <v>156</v>
      </c>
    </row>
    <row r="181" spans="1:15">
      <c r="A181" s="194" t="s">
        <v>185</v>
      </c>
      <c r="B181" s="221"/>
      <c r="D181" s="221" t="s">
        <v>87</v>
      </c>
      <c r="G181" s="239"/>
      <c r="I181" s="245"/>
      <c r="J181" s="246"/>
      <c r="K181" s="245"/>
      <c r="N181" s="221"/>
    </row>
    <row r="182" spans="1:15">
      <c r="A182" s="194" t="s">
        <v>157</v>
      </c>
      <c r="B182" s="169">
        <v>0.97415662817124182</v>
      </c>
      <c r="D182" s="223">
        <v>0.95</v>
      </c>
      <c r="E182" s="224">
        <v>0.99329999999999996</v>
      </c>
      <c r="G182" s="240">
        <v>0.98299999999999998</v>
      </c>
      <c r="H182" s="167">
        <v>0.97299999999999998</v>
      </c>
      <c r="I182" s="253"/>
      <c r="J182" s="254">
        <v>0.98</v>
      </c>
      <c r="K182" s="255"/>
      <c r="L182" s="227"/>
      <c r="M182" s="226"/>
    </row>
    <row r="183" spans="1:15">
      <c r="A183" s="194" t="s">
        <v>188</v>
      </c>
      <c r="B183" s="169">
        <v>0.78337559613487329</v>
      </c>
      <c r="D183" s="223">
        <v>0.79</v>
      </c>
      <c r="E183" s="224">
        <v>0.84330000000000005</v>
      </c>
      <c r="G183" s="240">
        <v>0.85</v>
      </c>
      <c r="H183" s="167">
        <v>0.81899999999999995</v>
      </c>
      <c r="I183" s="253"/>
      <c r="J183" s="254">
        <v>0.82499999999999996</v>
      </c>
      <c r="K183" s="255"/>
      <c r="L183" s="227"/>
      <c r="M183" s="228"/>
    </row>
    <row r="184" spans="1:15">
      <c r="A184" s="194" t="s">
        <v>158</v>
      </c>
      <c r="B184" s="169">
        <v>0.78751330747970871</v>
      </c>
      <c r="D184" s="223">
        <v>0.79</v>
      </c>
      <c r="E184" s="224">
        <v>0.78480000000000005</v>
      </c>
      <c r="G184" s="240">
        <v>0.81</v>
      </c>
      <c r="H184" s="167">
        <v>0.82599999999999996</v>
      </c>
      <c r="I184" s="253"/>
      <c r="J184" s="247">
        <v>0.74399999999999999</v>
      </c>
      <c r="K184" s="255"/>
      <c r="L184" s="227"/>
      <c r="M184" s="228"/>
    </row>
    <row r="185" spans="1:15">
      <c r="A185" s="194" t="s">
        <v>159</v>
      </c>
      <c r="B185" s="169">
        <v>0.99033919531763159</v>
      </c>
      <c r="D185" s="223">
        <v>0.98</v>
      </c>
      <c r="E185" s="224">
        <v>0.99019999999999997</v>
      </c>
      <c r="G185" s="240">
        <v>0.98299999999999998</v>
      </c>
      <c r="H185" s="167">
        <v>0.98399999999999999</v>
      </c>
      <c r="I185" s="253"/>
      <c r="J185" s="254">
        <v>0.98299999999999998</v>
      </c>
      <c r="K185" s="255"/>
      <c r="L185" s="227"/>
      <c r="M185" s="226"/>
    </row>
    <row r="186" spans="1:15">
      <c r="A186" s="194" t="s">
        <v>186</v>
      </c>
      <c r="B186" s="174"/>
      <c r="D186" s="229" t="s">
        <v>87</v>
      </c>
      <c r="E186" s="224"/>
      <c r="G186" s="240"/>
      <c r="H186" s="167"/>
      <c r="I186" s="245"/>
      <c r="J186" s="256"/>
      <c r="K186" s="255"/>
      <c r="L186" s="227"/>
      <c r="M186" s="226"/>
    </row>
    <row r="187" spans="1:15">
      <c r="A187" s="194" t="s">
        <v>161</v>
      </c>
      <c r="B187" s="170">
        <v>0.83983910593138966</v>
      </c>
      <c r="D187" s="175">
        <f>+SUM(D161:D166)/(D162/D182+D163/D183+D164/D184+D165/D185)</f>
        <v>0.84007210253219655</v>
      </c>
      <c r="E187" s="224">
        <v>0.86919999999999997</v>
      </c>
      <c r="G187" s="241">
        <f>+SUM(G161:G166)/(G162/G182+G163/G183+G164/G184+G165/G185)</f>
        <v>0.89436621274156503</v>
      </c>
      <c r="H187" s="251">
        <v>0.88429999999999997</v>
      </c>
      <c r="I187" s="245"/>
      <c r="J187" s="252">
        <f>+SUM(J161:J166)/(J162/J182+J163/J183+J164/J184+J165/J185)</f>
        <v>0.86243363261783657</v>
      </c>
      <c r="K187" s="257"/>
      <c r="L187" s="227"/>
      <c r="M187" s="176" t="e">
        <f>+SUM(M$129:M$134)/(M$129/M181+M$130/M182+M$131/M183+M$132/M184+M$133/M185+M$134/M186)</f>
        <v>#DIV/0!</v>
      </c>
      <c r="O187" s="231"/>
    </row>
    <row r="188" spans="1:15">
      <c r="I188" s="245"/>
      <c r="K188" s="245"/>
    </row>
    <row r="189" spans="1:15">
      <c r="I189" s="245"/>
      <c r="K189" s="245"/>
    </row>
  </sheetData>
  <mergeCells count="2">
    <mergeCell ref="B1:K1"/>
    <mergeCell ref="L1:M1"/>
  </mergeCells>
  <phoneticPr fontId="21" type="noConversion"/>
  <pageMargins left="0" right="0" top="0.25" bottom="0.25" header="0.3" footer="0.3"/>
  <pageSetup paperSize="9" scale="7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2</vt:i4>
      </vt:variant>
    </vt:vector>
  </HeadingPairs>
  <TitlesOfParts>
    <vt:vector size="3" baseType="lpstr">
      <vt:lpstr>Main</vt:lpstr>
      <vt:lpstr>On-Time Delivery Chart</vt:lpstr>
      <vt:lpstr>Arm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</dc:creator>
  <cp:lastModifiedBy>Windows User</cp:lastModifiedBy>
  <cp:lastPrinted>2012-03-31T12:17:08Z</cp:lastPrinted>
  <dcterms:created xsi:type="dcterms:W3CDTF">2005-04-28T18:45:14Z</dcterms:created>
  <dcterms:modified xsi:type="dcterms:W3CDTF">2012-04-11T14:31:08Z</dcterms:modified>
</cp:coreProperties>
</file>