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2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3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สมุดงานนี้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648" windowWidth="19872" windowHeight="7428" activeTab="2"/>
  </bookViews>
  <sheets>
    <sheet name="Sheet1" sheetId="4" r:id="rId1"/>
    <sheet name="Quotation" sheetId="1" r:id="rId2"/>
    <sheet name="overflow" sheetId="3" r:id="rId3"/>
    <sheet name="database" sheetId="2" r:id="rId4"/>
  </sheets>
  <calcPr calcId="152511"/>
</workbook>
</file>

<file path=xl/calcChain.xml><?xml version="1.0" encoding="utf-8"?>
<calcChain xmlns="http://schemas.openxmlformats.org/spreadsheetml/2006/main">
  <c r="T24" i="1" l="1"/>
  <c r="W24" i="1" s="1"/>
  <c r="Q24" i="1"/>
  <c r="C24" i="1"/>
  <c r="C30" i="3" l="1"/>
  <c r="C28" i="1"/>
  <c r="P69" i="1"/>
  <c r="F69" i="1"/>
  <c r="O66" i="3"/>
  <c r="E66" i="3"/>
  <c r="J35" i="1"/>
  <c r="E22" i="4"/>
  <c r="T18" i="3" l="1"/>
  <c r="T17" i="3"/>
  <c r="I24" i="4"/>
  <c r="I23" i="4"/>
  <c r="I22" i="4"/>
  <c r="G22" i="4"/>
  <c r="T28" i="3" l="1"/>
  <c r="W28" i="3" s="1"/>
  <c r="T26" i="1"/>
  <c r="W26" i="1" s="1"/>
  <c r="Q17" i="3" l="1"/>
  <c r="F15" i="3"/>
  <c r="F14" i="3"/>
  <c r="N13" i="3"/>
  <c r="K13" i="3"/>
  <c r="H13" i="3"/>
  <c r="F13" i="3"/>
  <c r="T8" i="3"/>
  <c r="I8" i="3"/>
  <c r="D8" i="3"/>
  <c r="T7" i="3"/>
  <c r="T6" i="3"/>
  <c r="D6" i="3"/>
  <c r="V5" i="3"/>
  <c r="D5" i="3"/>
  <c r="E2" i="3"/>
  <c r="E1" i="3"/>
  <c r="E21" i="4"/>
  <c r="E2" i="1"/>
  <c r="E1" i="1"/>
  <c r="Q13" i="3" l="1"/>
  <c r="H14" i="3"/>
  <c r="T8" i="1"/>
  <c r="V5" i="1"/>
  <c r="I8" i="1"/>
  <c r="A26" i="4"/>
  <c r="D5" i="1"/>
  <c r="N13" i="1"/>
  <c r="H16" i="3"/>
  <c r="K16" i="3"/>
  <c r="N16" i="3"/>
  <c r="T16" i="3" s="1"/>
  <c r="E30" i="4"/>
  <c r="Q18" i="3" s="1"/>
  <c r="F16" i="3"/>
  <c r="J36" i="3"/>
  <c r="W36" i="3" s="1"/>
  <c r="Q34" i="3"/>
  <c r="W34" i="3" s="1"/>
  <c r="K28" i="3"/>
  <c r="T27" i="3"/>
  <c r="C27" i="3"/>
  <c r="C26" i="3"/>
  <c r="T26" i="3" s="1"/>
  <c r="C25" i="3"/>
  <c r="T25" i="3" s="1"/>
  <c r="K13" i="1"/>
  <c r="H13" i="1"/>
  <c r="F15" i="1"/>
  <c r="F14" i="1"/>
  <c r="F13" i="1"/>
  <c r="Q13" i="1" s="1"/>
  <c r="I20" i="4"/>
  <c r="E20" i="4"/>
  <c r="Q16" i="3" l="1"/>
  <c r="W16" i="3" s="1"/>
  <c r="H15" i="3"/>
  <c r="H15" i="1"/>
  <c r="N15" i="1"/>
  <c r="N15" i="3"/>
  <c r="K15" i="3"/>
  <c r="Q15" i="3" s="1"/>
  <c r="K15" i="1"/>
  <c r="Q15" i="1" s="1"/>
  <c r="I21" i="4"/>
  <c r="N14" i="1"/>
  <c r="N14" i="3"/>
  <c r="K14" i="1"/>
  <c r="K14" i="3"/>
  <c r="Q14" i="3" s="1"/>
  <c r="H14" i="1"/>
  <c r="G21" i="4"/>
  <c r="W18" i="3"/>
  <c r="G20" i="4"/>
  <c r="L20" i="4" s="1"/>
  <c r="T13" i="3" s="1"/>
  <c r="W17" i="3"/>
  <c r="Q26" i="3"/>
  <c r="Q27" i="3" s="1"/>
  <c r="W27" i="3" s="1"/>
  <c r="T7" i="1"/>
  <c r="T6" i="1"/>
  <c r="D8" i="1"/>
  <c r="D6" i="1"/>
  <c r="C23" i="1"/>
  <c r="T23" i="1" s="1"/>
  <c r="C22" i="1"/>
  <c r="T22" i="1" s="1"/>
  <c r="C30" i="4"/>
  <c r="C48" i="4"/>
  <c r="E48" i="4" s="1"/>
  <c r="C49" i="4"/>
  <c r="E49" i="4" s="1"/>
  <c r="C47" i="4"/>
  <c r="E47" i="4" s="1"/>
  <c r="T15" i="3" l="1"/>
  <c r="W15" i="3" s="1"/>
  <c r="T15" i="1"/>
  <c r="W15" i="1" s="1"/>
  <c r="T14" i="1"/>
  <c r="T14" i="3"/>
  <c r="W14" i="3" s="1"/>
  <c r="M22" i="3"/>
  <c r="L21" i="4"/>
  <c r="Q25" i="3" s="1"/>
  <c r="W25" i="3" s="1"/>
  <c r="Q14" i="1"/>
  <c r="M19" i="1" s="1"/>
  <c r="W13" i="1"/>
  <c r="W13" i="3"/>
  <c r="W26" i="3"/>
  <c r="E50" i="4"/>
  <c r="W35" i="1"/>
  <c r="M30" i="3" l="1"/>
  <c r="T30" i="3" s="1"/>
  <c r="M28" i="1"/>
  <c r="W14" i="1"/>
  <c r="W23" i="1"/>
  <c r="W32" i="1" l="1"/>
  <c r="W30" i="3" l="1"/>
  <c r="W35" i="3" s="1"/>
  <c r="W37" i="3" s="1"/>
  <c r="K26" i="1"/>
  <c r="W22" i="1"/>
  <c r="M42" i="3" l="1"/>
  <c r="F38" i="3"/>
  <c r="M44" i="3"/>
  <c r="T43" i="3"/>
  <c r="W34" i="1"/>
  <c r="W37" i="1" s="1"/>
  <c r="F38" i="1" l="1"/>
  <c r="M48" i="1"/>
  <c r="T47" i="1"/>
  <c r="M46" i="1"/>
</calcChain>
</file>

<file path=xl/sharedStrings.xml><?xml version="1.0" encoding="utf-8"?>
<sst xmlns="http://schemas.openxmlformats.org/spreadsheetml/2006/main" count="375" uniqueCount="193">
  <si>
    <t>ใบเสนอราคา</t>
  </si>
  <si>
    <t>เรียน</t>
  </si>
  <si>
    <t>เลขที่ใบเสนอราคา</t>
  </si>
  <si>
    <t>ที่อยู่</t>
  </si>
  <si>
    <t>วันที่</t>
  </si>
  <si>
    <t>ชื่อผู้ขาย</t>
  </si>
  <si>
    <t>เบอร์โทร</t>
  </si>
  <si>
    <t>e - mail</t>
  </si>
  <si>
    <t xml:space="preserve">ขอเสนอราคาและรายละเอียดต่อไปนี้  </t>
  </si>
  <si>
    <t>ลำดับที่</t>
  </si>
  <si>
    <t>รายละเอียด</t>
  </si>
  <si>
    <t>จำนวน</t>
  </si>
  <si>
    <t>ราคา/หน่วย</t>
  </si>
  <si>
    <t>เป็นเงิน</t>
  </si>
  <si>
    <t>รวมราคา</t>
  </si>
  <si>
    <t>ตัวหนังสือ</t>
  </si>
  <si>
    <t xml:space="preserve">การชำระเงิน       </t>
  </si>
  <si>
    <t>ม่านน้ำ ดีไซน์  Maannam Design</t>
  </si>
  <si>
    <t>ระยะเวลาการทำงาน การรับประกัน หมายเหตุ และอื่นๆ</t>
  </si>
  <si>
    <t>ระยะเวลาทำงาน</t>
  </si>
  <si>
    <t>วัน</t>
  </si>
  <si>
    <t>ขึ้นอยู่กับสภาพอากาศไม่รวมวันหยุดนักขัตฤกษ์ และวันที่หมู่บ้านห้ามเข้า</t>
  </si>
  <si>
    <t>การรับประกัน</t>
  </si>
  <si>
    <t>รับประกันตัวบ่อ แตก / รั่ว / ซึม / ร้าว   1 ปี  (งานโครงสร้าง)</t>
  </si>
  <si>
    <t>หมายเหตุ</t>
  </si>
  <si>
    <t>งานนอกเหนือจากใบเสนอราคา คิดเป็นค่าใช้จ่ายงานเพิ่ม ซึ่งเก็บเงินวันสั่งสินค้าหรือสั่งงาน 50 % ส่วนที่เหลือเก็บวันส่งงาน</t>
  </si>
  <si>
    <t>ทางเราหวังเป็นอย่างยิ่งว่าจะได้ให้บริการแก่ท่าน ในเร็ววันนี้</t>
  </si>
  <si>
    <t>----------------------------------------</t>
  </si>
  <si>
    <t>ชื่อ  _______________________</t>
  </si>
  <si>
    <t>ชื่อ _____________________________</t>
  </si>
  <si>
    <t>วันที่  _______________________</t>
  </si>
  <si>
    <t>วันที่ ____________________________</t>
  </si>
  <si>
    <t>มัดจำงวดแรก 40% วันเข้าไปทำงานวันแรก เป็นเงิน</t>
  </si>
  <si>
    <t>งวดสุดท้าย 20% วันทำงานเสร็จเรียบร้อย เป็นเงิน</t>
  </si>
  <si>
    <t>บาท</t>
  </si>
  <si>
    <t>ม.</t>
  </si>
  <si>
    <t>กว้าง</t>
  </si>
  <si>
    <t>ลึก</t>
  </si>
  <si>
    <t>ยาว</t>
  </si>
  <si>
    <t>ตรม.</t>
  </si>
  <si>
    <t>( หากขุดขึ้นมาแล้ว พื้นที่ลงเข็มลึกไม่ได้ เราจะเปลี่ยนเป็นผูกเหล็กเสริมเข้าไปอีก 1 ชั้น เป็น 2 ชั้น แทน )</t>
  </si>
  <si>
    <t xml:space="preserve">งาน finishing </t>
  </si>
  <si>
    <t>รวมราคา สุทธิ</t>
  </si>
  <si>
    <t>ขุดสระใช้แม๊คโครเล็กในการขุด 1 วัน ไม่รวมขนดินทิ้ง หรือย้ายดิน</t>
  </si>
  <si>
    <t>รับประกัน ปั๊มน้ำ ระบบน้ำ / 1 ปี  (ในกรณีที่เกิดจากตัวปั๊ม ไม่รวมกรณีน้ำแห้งทำให้มอเตอร์ไหม้)</t>
  </si>
  <si>
    <t>รับประกันระบบไฟฟ้า 3 เดือน</t>
  </si>
  <si>
    <t>ต้น</t>
  </si>
  <si>
    <t>.- ลงเข็มยาว 4-6 เมตร แบบปูพรหม จำนวน</t>
  </si>
  <si>
    <t>สวิตซ์</t>
  </si>
  <si>
    <t>รายละเอียดโครงสร้างดังนี้
- พื้นบ่อเทคอนกรีตหนา 20  ซม.  ฉาบผสมน้ำยากันซึม
- โครงสร้างเสริมเหล็กข้ออ้อย 4 หุน เต็ม 1 ชั้น
- ผนังบ่อเทแบบคอนกรีต หนารวมฉาบแล้ว 17 ซม.รับแรงดันน้ำได้ดี</t>
  </si>
  <si>
    <t xml:space="preserve"> พร้อม เดินระบบและเทพื้นวางปั๊ม (ไม่รวมระแนงครอบปั้ม)</t>
  </si>
  <si>
    <t>ติดตั้งถังกรองทรายพร้อมปั๊มน้ำ ขนาด</t>
  </si>
  <si>
    <t>คลิกเลือก Finishing ในบ่อ</t>
  </si>
  <si>
    <t>คลิกเลือก Finishing ขอบบ่อ</t>
  </si>
  <si>
    <t>คลิกเลือก Finishing นอกบ่อ</t>
  </si>
  <si>
    <t>ในบ่อ ขัดมันผสมสี</t>
  </si>
  <si>
    <t>ในบ่อ กระเบื้องโมเสค ST</t>
  </si>
  <si>
    <t>ขอบบ่อ ขัดมันผสมสี</t>
  </si>
  <si>
    <t>ขอบบ่อ กระเบื้องอื่นๆ คิดเฉพาะค่าแรงปู</t>
  </si>
  <si>
    <t>ขอบบ่อ กระเบื้องแกรนิตโต้</t>
  </si>
  <si>
    <t>ขอบบ่อ หินทรายขัดเรียบ</t>
  </si>
  <si>
    <t>นอกบ่อ ขัดมันผสมสี</t>
  </si>
  <si>
    <t>นอกบ่อ กระเบื้องอื่นๆ คิดเฉพาะค่าแรงปู</t>
  </si>
  <si>
    <t>นอกบ่อ แกรนิตสีดำ</t>
  </si>
  <si>
    <t>นอกบ่อ กระเบื้องแกรนิตโต้</t>
  </si>
  <si>
    <t>นอกบ่อ หินทรายขัดเรียบ</t>
  </si>
  <si>
    <t>นอกบ่อ หินล้าง</t>
  </si>
  <si>
    <t>เมตร</t>
  </si>
  <si>
    <t>ถ้าความลึกเล่นระดับ ใช้ความลึกเฉลี่ย</t>
  </si>
  <si>
    <t>ชื่อูกค้า</t>
  </si>
  <si>
    <t>ผู้ขาย</t>
  </si>
  <si>
    <t>เลขที่ใบ
เสนอราคา</t>
  </si>
  <si>
    <t>วัสดุในบ่อ</t>
  </si>
  <si>
    <t>วัสดุขอบบ่อ</t>
  </si>
  <si>
    <t>วัสดุนอกบ่อ</t>
  </si>
  <si>
    <t>ระบบตู้ควบคุม</t>
  </si>
  <si>
    <t>สวิตซ์ควบคุมปั้มกรอง</t>
  </si>
  <si>
    <t>สวิตซ์ควบคุมไฟสระว่ายน้ำ</t>
  </si>
  <si>
    <t>สวิตซ์ควบคุมระบบจากุซซี่</t>
  </si>
  <si>
    <t>รวมสวิตซ์ควบคุม</t>
  </si>
  <si>
    <t>ปกติกว้าง 1m</t>
  </si>
  <si>
    <t>ปกติยาว 1.5 - 2m</t>
  </si>
  <si>
    <t>ลึกไม่น้อยกว่า 1m</t>
  </si>
  <si>
    <t>รางน้ำล้น พร้อมตะแกรงสระ</t>
  </si>
  <si>
    <t>ใช้ข้อมูลความยาวตามรางน้ำ</t>
  </si>
  <si>
    <t>ส่วนที่พ้นพื้นดิน</t>
  </si>
  <si>
    <t>(ถ้ามี)</t>
  </si>
  <si>
    <t>e-mail</t>
  </si>
  <si>
    <t>40 - 60</t>
  </si>
  <si>
    <t>ส่วนที่ 3</t>
  </si>
  <si>
    <t>ส่วนที่ 1</t>
  </si>
  <si>
    <t>ส่วนที่ 2</t>
  </si>
  <si>
    <t>คลิกเลือกส่วนบ่อที่คำนวณ --&gt;</t>
  </si>
  <si>
    <t>ยาว (ถ้าเป็นวงกลม=เส้นผ่านศูนย์กลาง)</t>
  </si>
  <si>
    <t>NO VAT</t>
  </si>
  <si>
    <t>รวมพื้นที่</t>
  </si>
  <si>
    <t>ชุด</t>
  </si>
  <si>
    <t>บ่อส่วนที่ 1</t>
  </si>
  <si>
    <t>สี่เหลี่ยม</t>
  </si>
  <si>
    <t>ครึ่งวงกลม</t>
  </si>
  <si>
    <t>วงกลม</t>
  </si>
  <si>
    <t>ฟรีฟอร์ม</t>
  </si>
  <si>
    <t>บ่อส่วนที่ 2</t>
  </si>
  <si>
    <t>บ่อส่วนที่ 3</t>
  </si>
  <si>
    <t>บ่อเก็บน้ำ</t>
  </si>
  <si>
    <t>รางน้ำล้นไปบ่อเก็บน้ำ พร้อมตะแกรงสระว่ายน้ำ abs</t>
  </si>
  <si>
    <t>เบอร์โทรผู้ขาย</t>
  </si>
  <si>
    <t>รหัสตัวแทน</t>
  </si>
  <si>
    <t>ตัวอย่าง</t>
  </si>
  <si>
    <t>000-123456</t>
  </si>
  <si>
    <t>dd/mm/2560</t>
  </si>
  <si>
    <t>QTA04</t>
  </si>
  <si>
    <t>001</t>
  </si>
  <si>
    <t>ค่าทำบ่อ / ตรม.</t>
  </si>
  <si>
    <t>ถ้าตารางเมตรน้อย</t>
  </si>
  <si>
    <t>เส้นรอบวงบ่อ</t>
  </si>
  <si>
    <t>ส่วน(1,2) หรือ (2,3) ติดกัน ยาว</t>
  </si>
  <si>
    <t>ส่วนที่ติดกัน ลึก</t>
  </si>
  <si>
    <t>รวมพื้นที่ส่วนที่ติดกัน</t>
  </si>
  <si>
    <t>คลิกเลือกรูปแบบบ่อที่คำนวณ --&gt;</t>
  </si>
  <si>
    <t>VAT</t>
  </si>
  <si>
    <t>เติม</t>
  </si>
  <si>
    <t>ไม่เติม</t>
  </si>
  <si>
    <t>คลิกเลือก</t>
  </si>
  <si>
    <t>ขอบบ่อ แกรนิตสีดำเจียร์บัว  บ่อเหลี่ยม</t>
  </si>
  <si>
    <t>ขอบบ่อ แกรนิตดำเจียร์บัว บ่อโค้ง</t>
  </si>
  <si>
    <t>รายละเอียดโครงสร้าง ดังนี้
- พื้นบ่อเทคอนกรีตหนา 20  ซม.  ฉาบผสมน้ำยากันซึม
- โครงสร้างเสริมเหล็กข้ออ้อย 4 หุน เต็ม 1 ชั้น
- ผนังบ่อเทแบบคอนกรีต หนารวมฉาบแล้ว 17 ซม.รับแรงดันน้ำได้ดี</t>
  </si>
  <si>
    <t>นิ้ว 1 ชุด</t>
  </si>
  <si>
    <t>งานสร้างสระน้ำ (ระบบ skimmer)  ตามแบบ</t>
  </si>
  <si>
    <t>งานสร้างสระน้ำ (ระบบ overflow)  ตามแบบ</t>
  </si>
  <si>
    <t>กำแพงม่านน้ำหินเทียมทรูทัช</t>
  </si>
  <si>
    <t>กำแพงม่านน้ำสันหินกาบ</t>
  </si>
  <si>
    <t>กำแพงม่านน้ำหินกาบจิ๊กซอว์</t>
  </si>
  <si>
    <t>กำแพงม่านน้ำจิ๊กซอว์แกรนิต</t>
  </si>
  <si>
    <t>กำแพงม่านน้ำ</t>
  </si>
  <si>
    <r>
      <t xml:space="preserve">หมายเหตุ
</t>
    </r>
    <r>
      <rPr>
        <b/>
        <sz val="10"/>
        <color rgb="FFFF0000"/>
        <rFont val="Calibri"/>
        <family val="2"/>
        <charset val="222"/>
        <scheme val="minor"/>
      </rPr>
      <t>- เซ็นต์จองเพื่อล็อคคิวช่าง 10,000 บาท /  หักคืนเต็มจำนวนในงวดงานสุดท้าย
- ไม่รวมอุปกรณ์เคมี เครื่องมือดูแลความสะอาดต่างๆ และ ไม่รวมต้นไม้ตกแต่งรอบบ่อ</t>
    </r>
    <r>
      <rPr>
        <b/>
        <sz val="10"/>
        <color rgb="FF0070C0"/>
        <rFont val="Calibri"/>
        <family val="2"/>
        <charset val="222"/>
        <scheme val="minor"/>
      </rPr>
      <t xml:space="preserve">
</t>
    </r>
    <r>
      <rPr>
        <sz val="10"/>
        <color theme="1"/>
        <rFont val="Calibri"/>
        <family val="2"/>
        <charset val="222"/>
        <scheme val="minor"/>
      </rPr>
      <t>- จุดติดตั้งปั้มต้องยาวไม่เกิน 6 เมตร จากสระ ถ้าเกินต้องใช้ปั๊มแรงขึ้นต้องมีค่าใช้จ่ายเพิ่ม
- การเดินท่อน้ำดี และน้ำทิ้งต้องยาวไม่เกิน 10 เมตร และการเดินต้องไม่ผ่านพื้นที่ปูน หากเกินหรือผ่านพื้นที่ปูนมีค่าใช้จ่ายเพิ่ม
- ผู้ว่าจ้างต้องหาที่พักให้ช่างของเรา หากไม่มี คิดราคาค่าห้องพัก ตามห้องพักที่หาได้จริงแถวนั้น ประมาณไม่เกิน 3500 บาท ต่อห้องต่อเดือน
- หากเพิ่มเดินไฟสายไฟไปพร้อมร้อยท่อ ณ จุดติดตั้งโดยที่ลูกค้าซื้อโคมไฟมาให้ จุดละ 1,000 บาท
- กรณีไม่ได้ว่าจ้างเราจัดสวน การทำบ่อ น้ำตก ศาลา หญ้าและต้นไม้อาจเสียหายและตายในพื้นที่ที่ทำงาน เดิน และวางของ ลูกค้าต้องเป็นผู้ซื้อต้นไม้และหญ้ามาใหม่เอง
- หากให้มีการรื้อถอนหรือเคลื่อนย้ายต้นไม้หรือสิ่งใดที่มีอยู่เดิม ทางเราไม่รับประกันการเสียหายไม่ว่ากรณีใดๆ    
- ผู้รับจ้างเป็นผู้รับผิดชอบเก็บความสะอาด ความเรียบร้อย และสีบ้าน หากมีเปรอะเปื้อนที่เกิดจากผู้รับจ้าง
- ไม่รวมระแนงครอบปั๊ม</t>
    </r>
  </si>
  <si>
    <r>
      <t xml:space="preserve">หมายเหตุ
</t>
    </r>
    <r>
      <rPr>
        <b/>
        <sz val="10"/>
        <color rgb="FFFF0000"/>
        <rFont val="Calibri"/>
        <family val="2"/>
        <charset val="222"/>
        <scheme val="minor"/>
      </rPr>
      <t>- เซ็นต์จองเพื่อล็อคคิวช่าง 10,000 บาท /  หักคืนเต็มจำนวนในงวดงานสุดท้าย
- ไม่รวมอุปกรณ์เคมี เครื่องมือดูแลความสะอาดต่างๆ และ ไม่รวมต้นไม้ตกแต่งรอบบ่อ</t>
    </r>
    <r>
      <rPr>
        <b/>
        <sz val="10"/>
        <color rgb="FF0070C0"/>
        <rFont val="Calibri"/>
        <family val="2"/>
        <charset val="222"/>
        <scheme val="minor"/>
      </rPr>
      <t xml:space="preserve">
</t>
    </r>
    <r>
      <rPr>
        <sz val="10"/>
        <color theme="1"/>
        <rFont val="Calibri"/>
        <family val="2"/>
        <charset val="222"/>
        <scheme val="minor"/>
      </rPr>
      <t>- จุดติดตั้งปั้มต้องยาวไม่เกิน 6 เมตร จากสระ ถ้าเกินต้องใช้ปั๊มแรงขึ้นต้องมีค่าใช้จ่ายเพิ่ม
- การเดินท่อน้ำดี และน้ำทิ้งต้องยาวไม่เกิน 10 เมตร และการเดินต้องไม่ผ่านพื้นที่ปูน หากเกินหรือผ่านพื้นที่ปูนมีค่าใช้จ่ายเพิ่ม
- ผู้ว่าจ้างต้องหาที่พักให้ช่างของเรา หากไม่มี คิดราคาค่าห้องพัก ตามห้องพักที่หาได้จริงแถวนั้น ประมาณไม่เกิน 3500 บาท ต่อห้องต่อเดือน
- หากเพิ่มเดินไฟสายไฟไปพร้อมร้อยท่อ ณ จุดติดตั้งโดยที่ลูกค้าซื้อโคมไฟมาให้ จุดละ 1,000 บาท
- กรณีไม่ได้ว่าจ้างเราจัดสวน การทำบ่อ น้ำตก ศาลา หญ้าและต้นไม้อาจเสียหายและตายในพื้นที่ที่ทำงาน เดิน และวางของ ลูกค้าต้องเป็นผู้ซื้อต้นไม้และหญ้ามาใหม่เอง
- หากให้มีการรื้อถอนหรือเคลื่อนย้ายต้นไม้หรือสิ่งใดที่มีอยู่เดิม ทางเราไม่รับประกันการเสียหายไม่ว่ากรณีใดๆ   
- ผู้รับจ้างเป็นผู้รับผิดชอบเก็บความสะอาด ความเรียบร้อย และสีบ้าน หากมีเปรอะเปื้อนที่เกิดจากผู้รับจ้าง
- ไม่รวมระแนงครอบปั๊ม</t>
    </r>
  </si>
  <si>
    <t>งวดที่สองอีก 40%  วันที่ทำงานโครงสร้างเสร็จก่อนเริ่มงาน Finishing  เป็นเงิน</t>
  </si>
  <si>
    <t>งานนอกเหนือจากใบเสนอราคา คิดเป็นค่าใช้จ่ายงานเพิ่ม เก็บเงินวันสั่งสินค้าหรือสั่งงาน 50 % ส่วนที่เหลือเก็บวันส่งงาน</t>
  </si>
  <si>
    <t>)</t>
  </si>
  <si>
    <t>(</t>
  </si>
  <si>
    <r>
      <t xml:space="preserve">การจ่ายเงินรับเฉพาะเงินสด หรือเช็คลงชื่อ ตุลกวิน ศรีปาน
</t>
    </r>
    <r>
      <rPr>
        <b/>
        <sz val="11"/>
        <color rgb="FF00B050"/>
        <rFont val="Calibri"/>
        <family val="2"/>
        <scheme val="minor"/>
      </rPr>
      <t>ธ.กสิกรไทย เลขที่บัญชี 745-251-9067</t>
    </r>
    <r>
      <rPr>
        <sz val="11"/>
        <color theme="1"/>
        <rFont val="Calibri"/>
        <family val="2"/>
        <charset val="222"/>
        <scheme val="minor"/>
      </rPr>
      <t xml:space="preserve">  </t>
    </r>
    <r>
      <rPr>
        <b/>
        <sz val="11"/>
        <color rgb="FFFF0000"/>
        <rFont val="Calibri"/>
        <family val="2"/>
        <scheme val="minor"/>
      </rPr>
      <t xml:space="preserve"> ธ.ไทยพาณิชย์ เลขที่บัญชี 017-251-8492</t>
    </r>
    <r>
      <rPr>
        <sz val="11"/>
        <color theme="1"/>
        <rFont val="Calibri"/>
        <family val="2"/>
        <charset val="222"/>
        <scheme val="minor"/>
      </rPr>
      <t xml:space="preserve">
ราคาไม่รวม VAT และ ไม่รวมหักภาษี ณ ที่จ่าย 3 % </t>
    </r>
  </si>
  <si>
    <t>รับประกัน ปั๊มน้ำ ระบบน้ำ 1 ปี  (ในกรณีที่เกิดจากตัวปั๊ม ไม่รวมกรณีน้ำแห้งทำให้มอเตอร์ไหม้)</t>
  </si>
  <si>
    <t>โรยหินเบอร์ 4 บนตะแกรงสระว่ายน้ำ</t>
  </si>
  <si>
    <t>ตู้</t>
  </si>
  <si>
    <t>(ไม่รวมการเดินสายเมนไปตู้ควบคุม เมนจากบ้าน20 แอมป์) 
ในตู้ควบคุมมีอุปกรณ์ดังนี้ 
- เบรกเกอร์กันดูด โอเวอร์โหลด และเมกเนติก สำหรับปั้ม
- ทามเมอร์ สำหรับถังกรองทราย 1 ตัว
- รีโมทเปิดปิดสำหรับไฟสระว่ายน้ำ และ จากุซชี่(ถ้ามี)</t>
  </si>
  <si>
    <t>เบรคเกอร์</t>
  </si>
  <si>
    <t>พร้อม เดินระบบและเทพื้นวางปั๊ม (ไม่รวมระแนงครอบปั้ม)</t>
  </si>
  <si>
    <t>gmail.com</t>
  </si>
  <si>
    <t>lock</t>
  </si>
  <si>
    <t>unlock</t>
  </si>
  <si>
    <t>บ่อเก็บน้ำกว้าง</t>
  </si>
  <si>
    <t>บ่อเก็บน้ำยาว</t>
  </si>
  <si>
    <t>บ่อเก็บน้ำลึก</t>
  </si>
  <si>
    <t>รางน้ำล้นไปบ่อเก็บน้ำ และ ตะแกรงสระ ABS</t>
  </si>
  <si>
    <t>โรยหินเบอร์ 4 บนตะแกรงสระ</t>
  </si>
  <si>
    <t>chk_pool</t>
  </si>
  <si>
    <t>chk_ranang</t>
  </si>
  <si>
    <t>chk_showerarea</t>
  </si>
  <si>
    <t>chk_fountain</t>
  </si>
  <si>
    <t>chk_fishpond</t>
  </si>
  <si>
    <t>chk_gazebo</t>
  </si>
  <si>
    <t>คลิกเลือก Finishing ขอบบ่อ รางน้ำ</t>
  </si>
  <si>
    <t>radio , chkbox no move</t>
  </si>
  <si>
    <t>นอกบ่อด้านที่ 1 ยาว</t>
  </si>
  <si>
    <t>นอกบ่อด้านที่ 2 ยาว</t>
  </si>
  <si>
    <t>นอกบ่อด้านที่ 3 ยาว</t>
  </si>
  <si>
    <t>นอกบ่อด้านที่ 4 ยาว</t>
  </si>
  <si>
    <t>นอกบ่อด้านที่ 5 ยาว</t>
  </si>
  <si>
    <t>นอกบ่อด้านที่ 6 ยาว</t>
  </si>
  <si>
    <t>นอกบ่อด้านที่ 7 ยาว</t>
  </si>
  <si>
    <t>นอกบ่อด้านที่ 8 ยาว</t>
  </si>
  <si>
    <t>ในบ่อ กระเบื้องดินเผาสระน้ำ ขนาด 4x4 นิ้ว เลือกสีได้</t>
  </si>
  <si>
    <t>ในบ่อ กระเบื้องหินธรรมชาติ สีอ่อน</t>
  </si>
  <si>
    <t>ในบ่อ กระเบื้องหินธรรมชาติ สีเข้ม</t>
  </si>
  <si>
    <t>ขอบบ่อ กระเบื้องสระ 4x4 นิ้ว เลือกสีได้</t>
  </si>
  <si>
    <t>นอกบ่อ กระเบื้องสระ 4x4 นิ้ว เลือกสีได้</t>
  </si>
  <si>
    <t>ขอบบ่อ หินทรายขัดเรียบเจียร์บัว ลบุมุม</t>
  </si>
  <si>
    <t>ขอบบ่อ หินธรรมชาติสีอ่อน เจียร์บัว ลบมุม</t>
  </si>
  <si>
    <t>ขอบบ่อ หินธรรมชาติสีเข้ม เจียร์บัว ลบมุม</t>
  </si>
  <si>
    <t>นอกบ่อ กระเบื้องหินธรรมชาติ สีเข้ม</t>
  </si>
  <si>
    <t>นอกบ่อ กระเบื้องหินธรรมชาติ สีอ่อน</t>
  </si>
  <si>
    <t>นอกบ่อ กระเบื้องหินธรรมชาติ ลายเกรด 1</t>
  </si>
  <si>
    <t>นอกบ่อ กระเบื้องหินธรรมชาติ ลายเกรด 2</t>
  </si>
  <si>
    <t>ในบ่อ กระเบื้องอื่นๆ คิดเฉพาะค่าแรงปู ปูนกาว</t>
  </si>
  <si>
    <t>หากใช้วัสดุของผู้ว่าจ้าง , เราไม่รับประกันวัสดุแตก บิ่น ความเสียหายใดๆก็ตาม รวมถึงวัสดุไม่ครบ คำนวณแล้วไม่พอ หากไม่พอผู้ว่าจ้างต้องเป็นผู้ซื้อให้</t>
  </si>
  <si>
    <t>ความสูงจากพื้นดินของบ่อรางน้ำ</t>
  </si>
  <si>
    <t>ชยานิษฐ์  โรจน์อัครนิธิ</t>
  </si>
  <si>
    <t>085-907-7518</t>
  </si>
  <si>
    <t>โปรดเติม</t>
  </si>
  <si>
    <t>asa</t>
  </si>
  <si>
    <t>sas</t>
  </si>
  <si>
    <t>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</si>
</sst>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F800]dddd\,\ mmmm\ dd\,\ yyyy"/>
    <numFmt numFmtId="165" formatCode="0.0"/>
    <numFmt numFmtId="166" formatCode="_-* #,##0_-;\-* #,##0_-;_-* &quot;-&quot;??_-;_-@_-"/>
    <numFmt numFmtId="167" formatCode="[$-107041E]d\ mmm\ yy;@"/>
  </numFmts>
  <fonts count="37">
    <font>
      <sz val="11"/>
      <color theme="1"/>
      <name val="Calibri"/>
      <family val="2"/>
      <charset val="222"/>
      <scheme val="minor"/>
    </font>
    <font>
      <sz val="18"/>
      <color theme="1"/>
      <name val="Calibri"/>
      <family val="2"/>
      <charset val="222"/>
      <scheme val="minor"/>
    </font>
    <font>
      <sz val="12"/>
      <color theme="1"/>
      <name val="Calibri"/>
      <family val="2"/>
      <charset val="222"/>
      <scheme val="minor"/>
    </font>
    <font>
      <sz val="14"/>
      <color theme="1"/>
      <name val="Calibri"/>
      <family val="2"/>
      <charset val="222"/>
      <scheme val="minor"/>
    </font>
    <font>
      <sz val="9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charset val="22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2"/>
      <color theme="0"/>
      <name val="Calibri"/>
      <family val="2"/>
      <charset val="222"/>
      <scheme val="minor"/>
    </font>
    <font>
      <sz val="10"/>
      <color rgb="FFFF0000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1"/>
      <color rgb="FF00B0F0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rgb="FF0070C0"/>
      <name val="Calibri"/>
      <family val="2"/>
      <charset val="222"/>
      <scheme val="minor"/>
    </font>
    <font>
      <sz val="8"/>
      <color rgb="FFFF0000"/>
      <name val="Calibri"/>
      <family val="2"/>
      <charset val="222"/>
      <scheme val="minor"/>
    </font>
    <font>
      <sz val="11"/>
      <color rgb="FF000000"/>
      <name val="Calibri"/>
      <family val="2"/>
      <charset val="222"/>
      <scheme val="minor"/>
    </font>
    <font>
      <sz val="10"/>
      <color rgb="FF030000"/>
      <name val="Calibri"/>
      <family val="2"/>
      <charset val="222"/>
      <scheme val="minor"/>
    </font>
    <font>
      <sz val="11"/>
      <color rgb="FFFFFFFF"/>
      <name val="Calibri"/>
      <family val="2"/>
      <charset val="222"/>
      <scheme val="minor"/>
    </font>
    <font>
      <sz val="8"/>
      <color rgb="FF000000"/>
      <name val="Tahoma"/>
      <family val="2"/>
    </font>
    <font>
      <sz val="18"/>
      <color rgb="FFFF0000"/>
      <name val="Calibri"/>
      <family val="2"/>
      <charset val="222"/>
      <scheme val="minor"/>
    </font>
    <font>
      <sz val="10"/>
      <color theme="1"/>
      <name val="Calibri"/>
      <family val="2"/>
      <charset val="222"/>
      <scheme val="minor"/>
    </font>
    <font>
      <b/>
      <sz val="10"/>
      <color rgb="FFFF0000"/>
      <name val="Calibri"/>
      <family val="2"/>
      <charset val="222"/>
      <scheme val="minor"/>
    </font>
    <font>
      <b/>
      <sz val="10"/>
      <color rgb="FF0070C0"/>
      <name val="Calibri"/>
      <family val="2"/>
      <charset val="222"/>
      <scheme val="minor"/>
    </font>
    <font>
      <b/>
      <sz val="11"/>
      <color rgb="FF00B050"/>
      <name val="Calibri"/>
      <family val="2"/>
      <scheme val="minor"/>
    </font>
    <font>
      <sz val="8"/>
      <color rgb="FF000000"/>
      <name val="Segoe UI"/>
      <family val="2"/>
    </font>
    <font>
      <sz val="11"/>
      <color rgb="FF010000"/>
      <name val="Calibri"/>
      <family val="2"/>
      <charset val="222"/>
      <scheme val="minor"/>
    </font>
    <font>
      <sz val="8"/>
      <color theme="1"/>
      <name val="Calibri"/>
      <family val="2"/>
      <charset val="222"/>
      <scheme val="minor"/>
    </font>
    <font>
      <sz val="8"/>
      <color rgb="FF000000"/>
      <name val="Leelawadee"/>
      <family val="2"/>
    </font>
    <font>
      <sz val="11"/>
      <color rgb="FF000000"/>
      <name val="Tahoma"/>
      <family val="2"/>
    </font>
    <font>
      <sz val="12"/>
      <color rgb="FF000000"/>
      <name val="Calibri"/>
      <family val="2"/>
      <charset val="222"/>
      <scheme val="minor"/>
    </font>
    <font>
      <sz val="11"/>
      <color rgb="FF030000"/>
      <name val="Calibri"/>
      <family val="2"/>
      <charset val="222"/>
      <scheme val="minor"/>
    </font>
    <font>
      <sz val="8"/>
      <color rgb="FF000000"/>
      <name val="Calibri"/>
      <family val="2"/>
      <charset val="222"/>
      <scheme val="minor"/>
    </font>
    <font>
      <sz val="8"/>
      <color rgb="FF010000"/>
      <name val="Calibri"/>
      <family val="2"/>
      <charset val="222"/>
      <scheme val="minor"/>
    </font>
    <font>
      <sz val="10"/>
      <color rgb="FF010000"/>
      <name val="Calibri"/>
      <family val="2"/>
      <charset val="22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36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quotePrefix="1" applyBorder="1" applyAlignment="1">
      <alignment horizontal="left" vertical="center"/>
    </xf>
    <xf numFmtId="0" fontId="0" fillId="0" borderId="0" xfId="0" quotePrefix="1" applyBorder="1" applyAlignment="1">
      <alignment vertical="center"/>
    </xf>
    <xf numFmtId="0" fontId="0" fillId="0" borderId="13" xfId="0" quotePrefix="1" applyBorder="1" applyAlignment="1">
      <alignment vertical="center"/>
    </xf>
    <xf numFmtId="0" fontId="0" fillId="0" borderId="13" xfId="0" quotePrefix="1" applyBorder="1" applyAlignment="1">
      <alignment horizontal="left" vertical="center"/>
    </xf>
    <xf numFmtId="0" fontId="0" fillId="0" borderId="9" xfId="0" quotePrefix="1" applyBorder="1" applyAlignment="1">
      <alignment horizontal="left" vertical="center"/>
    </xf>
    <xf numFmtId="0" fontId="0" fillId="0" borderId="10" xfId="0" quotePrefix="1" applyBorder="1" applyAlignment="1">
      <alignment horizontal="left" vertical="center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1" fontId="0" fillId="0" borderId="4" xfId="0" applyNumberFormat="1" applyBorder="1" applyAlignment="1">
      <alignment vertical="center"/>
    </xf>
    <xf numFmtId="1" fontId="0" fillId="0" borderId="7" xfId="0" applyNumberFormat="1" applyBorder="1" applyAlignment="1">
      <alignment vertical="center"/>
    </xf>
    <xf numFmtId="1" fontId="0" fillId="0" borderId="12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" fontId="2" fillId="0" borderId="0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1" fontId="4" fillId="0" borderId="1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0" fillId="0" borderId="0" xfId="0"/>
    <xf numFmtId="0" fontId="0" fillId="6" borderId="1" xfId="0" applyFill="1" applyBorder="1"/>
    <xf numFmtId="0" fontId="0" fillId="6" borderId="1" xfId="0" applyNumberFormat="1" applyFill="1" applyBorder="1"/>
    <xf numFmtId="0" fontId="0" fillId="0" borderId="0" xfId="0"/>
    <xf numFmtId="0" fontId="2" fillId="0" borderId="0" xfId="0" applyFont="1" applyAlignment="1">
      <alignment horizontal="left"/>
    </xf>
    <xf numFmtId="0" fontId="0" fillId="7" borderId="1" xfId="0" applyFill="1" applyBorder="1"/>
    <xf numFmtId="0" fontId="0" fillId="7" borderId="1" xfId="0" applyNumberFormat="1" applyFill="1" applyBorder="1"/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2" xfId="0" applyBorder="1"/>
    <xf numFmtId="0" fontId="0" fillId="0" borderId="0" xfId="0" applyBorder="1" applyAlignment="1">
      <alignment horizontal="center"/>
    </xf>
    <xf numFmtId="0" fontId="0" fillId="0" borderId="13" xfId="0" applyBorder="1"/>
    <xf numFmtId="0" fontId="0" fillId="0" borderId="12" xfId="0" applyBorder="1" applyAlignment="1">
      <alignment horizontal="left"/>
    </xf>
    <xf numFmtId="0" fontId="5" fillId="0" borderId="12" xfId="0" applyFont="1" applyBorder="1"/>
    <xf numFmtId="0" fontId="5" fillId="0" borderId="12" xfId="0" applyFont="1" applyBorder="1" applyAlignment="1"/>
    <xf numFmtId="0" fontId="0" fillId="0" borderId="0" xfId="0" quotePrefix="1"/>
    <xf numFmtId="0" fontId="0" fillId="7" borderId="1" xfId="0" applyNumberFormat="1" applyFill="1" applyBorder="1" applyAlignment="1">
      <alignment horizont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5" borderId="13" xfId="0" applyFill="1" applyBorder="1"/>
    <xf numFmtId="0" fontId="0" fillId="5" borderId="10" xfId="0" applyFill="1" applyBorder="1"/>
    <xf numFmtId="0" fontId="14" fillId="5" borderId="3" xfId="0" applyFont="1" applyFill="1" applyBorder="1"/>
    <xf numFmtId="0" fontId="14" fillId="5" borderId="0" xfId="0" applyFont="1" applyFill="1" applyBorder="1"/>
    <xf numFmtId="1" fontId="0" fillId="0" borderId="13" xfId="0" applyNumberFormat="1" applyFont="1" applyBorder="1" applyAlignment="1">
      <alignment vertical="center"/>
    </xf>
    <xf numFmtId="0" fontId="0" fillId="0" borderId="4" xfId="0" applyBorder="1" applyAlignment="1">
      <alignment horizontal="left" vertical="center"/>
    </xf>
    <xf numFmtId="0" fontId="0" fillId="0" borderId="0" xfId="0" quotePrefix="1" applyBorder="1" applyAlignment="1">
      <alignment horizontal="left" vertic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13" fillId="0" borderId="3" xfId="0" applyFont="1" applyBorder="1"/>
    <xf numFmtId="0" fontId="13" fillId="0" borderId="0" xfId="0" applyFont="1" applyBorder="1"/>
    <xf numFmtId="0" fontId="14" fillId="5" borderId="2" xfId="0" applyFont="1" applyFill="1" applyBorder="1" applyAlignment="1">
      <alignment horizontal="left" vertical="center"/>
    </xf>
    <xf numFmtId="0" fontId="14" fillId="5" borderId="3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Alignment="1">
      <alignment vertical="center"/>
    </xf>
    <xf numFmtId="1" fontId="0" fillId="0" borderId="0" xfId="0" applyNumberFormat="1" applyFont="1" applyBorder="1" applyAlignment="1">
      <alignment vertical="center"/>
    </xf>
    <xf numFmtId="1" fontId="0" fillId="0" borderId="7" xfId="0" applyNumberFormat="1" applyFont="1" applyBorder="1" applyAlignment="1">
      <alignment vertical="center"/>
    </xf>
    <xf numFmtId="166" fontId="2" fillId="0" borderId="0" xfId="1" applyNumberFormat="1" applyFont="1" applyBorder="1" applyAlignment="1">
      <alignment horizontal="center" vertical="center" wrapText="1"/>
    </xf>
    <xf numFmtId="166" fontId="0" fillId="0" borderId="8" xfId="1" applyNumberFormat="1" applyFont="1" applyBorder="1" applyAlignment="1">
      <alignment horizontal="center" vertical="center"/>
    </xf>
    <xf numFmtId="166" fontId="0" fillId="0" borderId="9" xfId="1" applyNumberFormat="1" applyFont="1" applyBorder="1" applyAlignment="1">
      <alignment horizontal="center" vertical="center"/>
    </xf>
    <xf numFmtId="166" fontId="0" fillId="0" borderId="10" xfId="1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5" fontId="2" fillId="0" borderId="0" xfId="0" applyNumberFormat="1" applyFont="1" applyBorder="1" applyAlignment="1">
      <alignment vertical="center" wrapText="1"/>
    </xf>
    <xf numFmtId="0" fontId="0" fillId="0" borderId="0" xfId="0" applyFill="1"/>
    <xf numFmtId="0" fontId="10" fillId="11" borderId="3" xfId="0" applyFont="1" applyFill="1" applyBorder="1" applyAlignment="1">
      <alignment horizontal="center"/>
    </xf>
    <xf numFmtId="0" fontId="10" fillId="11" borderId="3" xfId="0" applyFont="1" applyFill="1" applyBorder="1"/>
    <xf numFmtId="0" fontId="10" fillId="11" borderId="0" xfId="0" applyFont="1" applyFill="1" applyBorder="1"/>
    <xf numFmtId="0" fontId="10" fillId="11" borderId="9" xfId="0" applyFont="1" applyFill="1" applyBorder="1"/>
    <xf numFmtId="0" fontId="18" fillId="14" borderId="0" xfId="0" applyFont="1" applyFill="1" applyBorder="1"/>
    <xf numFmtId="0" fontId="18" fillId="11" borderId="0" xfId="0" applyFont="1" applyFill="1" applyBorder="1" applyAlignment="1">
      <alignment horizontal="center"/>
    </xf>
    <xf numFmtId="0" fontId="16" fillId="0" borderId="1" xfId="0" applyFont="1" applyBorder="1" applyAlignment="1">
      <alignment horizontal="left" vertical="center"/>
    </xf>
    <xf numFmtId="0" fontId="18" fillId="13" borderId="1" xfId="0" applyFont="1" applyFill="1" applyBorder="1" applyAlignment="1">
      <alignment horizontal="right"/>
    </xf>
    <xf numFmtId="0" fontId="19" fillId="0" borderId="0" xfId="0" applyFont="1"/>
    <xf numFmtId="49" fontId="0" fillId="8" borderId="5" xfId="0" applyNumberFormat="1" applyFill="1" applyBorder="1" applyAlignment="1"/>
    <xf numFmtId="0" fontId="0" fillId="8" borderId="5" xfId="0" applyFill="1" applyBorder="1" applyAlignment="1"/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20" fillId="11" borderId="1" xfId="0" applyFont="1" applyFill="1" applyBorder="1"/>
    <xf numFmtId="0" fontId="20" fillId="11" borderId="4" xfId="0" applyFont="1" applyFill="1" applyBorder="1" applyAlignment="1">
      <alignment horizontal="center"/>
    </xf>
    <xf numFmtId="0" fontId="20" fillId="11" borderId="13" xfId="0" applyFont="1" applyFill="1" applyBorder="1" applyAlignment="1">
      <alignment horizontal="center"/>
    </xf>
    <xf numFmtId="0" fontId="20" fillId="11" borderId="10" xfId="0" applyFont="1" applyFill="1" applyBorder="1" applyAlignment="1">
      <alignment horizontal="center"/>
    </xf>
    <xf numFmtId="0" fontId="11" fillId="0" borderId="0" xfId="0" applyFont="1" applyBorder="1" applyAlignment="1">
      <alignment vertical="center" wrapText="1"/>
    </xf>
    <xf numFmtId="0" fontId="22" fillId="0" borderId="0" xfId="0" applyFont="1" applyAlignment="1">
      <alignment horizontal="left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13" xfId="0" applyBorder="1" applyAlignment="1">
      <alignment horizontal="left" wrapText="1"/>
    </xf>
    <xf numFmtId="0" fontId="5" fillId="4" borderId="6" xfId="0" applyFont="1" applyFill="1" applyBorder="1" applyAlignment="1">
      <alignment horizontal="left" vertical="center"/>
    </xf>
    <xf numFmtId="0" fontId="18" fillId="14" borderId="0" xfId="0" applyFont="1" applyFill="1" applyBorder="1" applyAlignment="1"/>
    <xf numFmtId="165" fontId="2" fillId="0" borderId="0" xfId="0" applyNumberFormat="1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vertical="center"/>
    </xf>
    <xf numFmtId="1" fontId="0" fillId="0" borderId="10" xfId="0" applyNumberFormat="1" applyFont="1" applyBorder="1" applyAlignment="1">
      <alignment vertical="center"/>
    </xf>
    <xf numFmtId="0" fontId="0" fillId="0" borderId="0" xfId="0" applyAlignment="1"/>
    <xf numFmtId="0" fontId="7" fillId="0" borderId="0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2" fillId="0" borderId="0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0" xfId="0" applyFont="1" applyBorder="1" applyAlignment="1">
      <alignment horizontal="center" vertical="top" wrapText="1"/>
    </xf>
    <xf numFmtId="0" fontId="0" fillId="0" borderId="0" xfId="0" applyFont="1" applyBorder="1" applyAlignment="1">
      <alignment vertical="top"/>
    </xf>
    <xf numFmtId="0" fontId="28" fillId="15" borderId="3" xfId="0" applyFont="1" applyFill="1" applyBorder="1"/>
    <xf numFmtId="0" fontId="28" fillId="15" borderId="0" xfId="0" applyFont="1" applyFill="1" applyBorder="1"/>
    <xf numFmtId="0" fontId="0" fillId="9" borderId="1" xfId="0" applyFill="1" applyBorder="1" applyAlignment="1">
      <alignment horizontal="left"/>
    </xf>
    <xf numFmtId="0" fontId="29" fillId="0" borderId="0" xfId="0" applyFont="1"/>
    <xf numFmtId="165" fontId="32" fillId="0" borderId="0" xfId="0" applyNumberFormat="1" applyFont="1" applyBorder="1" applyAlignment="1">
      <alignment vertical="center" wrapText="1"/>
    </xf>
    <xf numFmtId="0" fontId="32" fillId="13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28" fillId="15" borderId="2" xfId="0" applyFont="1" applyFill="1" applyBorder="1"/>
    <xf numFmtId="0" fontId="28" fillId="15" borderId="0" xfId="0" applyFont="1" applyFill="1" applyAlignment="1">
      <alignment vertical="center"/>
    </xf>
    <xf numFmtId="0" fontId="28" fillId="15" borderId="12" xfId="0" applyFont="1" applyFill="1" applyBorder="1"/>
    <xf numFmtId="0" fontId="28" fillId="15" borderId="8" xfId="0" applyFont="1" applyFill="1" applyBorder="1"/>
    <xf numFmtId="0" fontId="28" fillId="15" borderId="9" xfId="0" applyFont="1" applyFill="1" applyBorder="1"/>
    <xf numFmtId="0" fontId="28" fillId="15" borderId="9" xfId="0" applyFont="1" applyFill="1" applyBorder="1" applyAlignment="1">
      <alignment horizontal="center"/>
    </xf>
    <xf numFmtId="0" fontId="28" fillId="15" borderId="0" xfId="0" applyFont="1" applyFill="1"/>
    <xf numFmtId="0" fontId="34" fillId="15" borderId="9" xfId="0" applyFont="1" applyFill="1" applyBorder="1"/>
    <xf numFmtId="0" fontId="28" fillId="15" borderId="0" xfId="0" applyFont="1" applyFill="1" applyBorder="1" applyAlignment="1">
      <alignment horizontal="center"/>
    </xf>
    <xf numFmtId="0" fontId="28" fillId="0" borderId="0" xfId="0" applyFont="1" applyFill="1"/>
    <xf numFmtId="0" fontId="33" fillId="0" borderId="0" xfId="0" applyFont="1" applyFill="1"/>
    <xf numFmtId="0" fontId="29" fillId="0" borderId="0" xfId="0" applyFont="1" applyFill="1"/>
    <xf numFmtId="0" fontId="35" fillId="15" borderId="0" xfId="0" applyFont="1" applyFill="1" applyBorder="1"/>
    <xf numFmtId="0" fontId="0" fillId="0" borderId="0" xfId="0" applyFill="1" applyBorder="1" applyAlignment="1">
      <alignment horizontal="right"/>
    </xf>
    <xf numFmtId="0" fontId="20" fillId="0" borderId="0" xfId="0" applyFont="1" applyFill="1" applyBorder="1"/>
    <xf numFmtId="0" fontId="20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0" fillId="7" borderId="14" xfId="0" applyFill="1" applyBorder="1"/>
    <xf numFmtId="0" fontId="4" fillId="0" borderId="0" xfId="0" applyFont="1" applyAlignment="1"/>
    <xf numFmtId="0" fontId="36" fillId="15" borderId="0" xfId="0" applyFont="1" applyFill="1" applyBorder="1"/>
    <xf numFmtId="0" fontId="36" fillId="15" borderId="3" xfId="0" applyFont="1" applyFill="1" applyBorder="1"/>
    <xf numFmtId="0" fontId="36" fillId="15" borderId="9" xfId="0" applyFont="1" applyFill="1" applyBorder="1"/>
    <xf numFmtId="0" fontId="0" fillId="17" borderId="1" xfId="0" applyNumberFormat="1" applyFill="1" applyBorder="1" applyAlignment="1">
      <alignment horizontal="center"/>
    </xf>
    <xf numFmtId="0" fontId="0" fillId="17" borderId="1" xfId="0" applyNumberFormat="1" applyFill="1" applyBorder="1"/>
    <xf numFmtId="0" fontId="20" fillId="11" borderId="1" xfId="0" applyFont="1" applyFill="1" applyBorder="1" applyProtection="1"/>
    <xf numFmtId="0" fontId="20" fillId="11" borderId="4" xfId="0" applyFont="1" applyFill="1" applyBorder="1" applyAlignment="1" applyProtection="1">
      <alignment horizontal="center"/>
    </xf>
    <xf numFmtId="0" fontId="20" fillId="11" borderId="13" xfId="0" applyFont="1" applyFill="1" applyBorder="1" applyAlignment="1" applyProtection="1">
      <alignment horizontal="center"/>
    </xf>
    <xf numFmtId="0" fontId="20" fillId="11" borderId="10" xfId="0" applyFont="1" applyFill="1" applyBorder="1" applyAlignment="1" applyProtection="1">
      <alignment horizontal="center"/>
    </xf>
    <xf numFmtId="0" fontId="20" fillId="11" borderId="0" xfId="0" applyFont="1" applyFill="1" applyBorder="1" applyProtection="1"/>
    <xf numFmtId="0" fontId="20" fillId="11" borderId="0" xfId="0" applyFont="1" applyFill="1" applyBorder="1" applyAlignment="1" applyProtection="1">
      <alignment horizontal="center"/>
    </xf>
    <xf numFmtId="0" fontId="20" fillId="11" borderId="0" xfId="0" applyFont="1" applyFill="1" applyBorder="1" applyAlignment="1" applyProtection="1">
      <alignment vertical="center"/>
    </xf>
    <xf numFmtId="0" fontId="20" fillId="11" borderId="0" xfId="0" applyFont="1" applyFill="1" applyBorder="1" applyAlignment="1" applyProtection="1">
      <alignment horizontal="center" vertical="center"/>
    </xf>
    <xf numFmtId="167" fontId="0" fillId="8" borderId="1" xfId="0" applyNumberFormat="1" applyFill="1" applyBorder="1" applyAlignment="1" applyProtection="1">
      <alignment horizontal="left"/>
      <protection locked="0"/>
    </xf>
    <xf numFmtId="0" fontId="17" fillId="0" borderId="1" xfId="0" applyFont="1" applyBorder="1" applyAlignment="1">
      <alignment horizontal="center"/>
    </xf>
    <xf numFmtId="0" fontId="0" fillId="8" borderId="1" xfId="0" applyFill="1" applyBorder="1" applyAlignment="1">
      <alignment horizontal="left"/>
    </xf>
    <xf numFmtId="0" fontId="0" fillId="5" borderId="0" xfId="0" applyFill="1" applyBorder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8" borderId="1" xfId="0" applyFill="1" applyBorder="1" applyAlignment="1" applyProtection="1">
      <alignment horizontal="left"/>
      <protection locked="0"/>
    </xf>
    <xf numFmtId="49" fontId="17" fillId="0" borderId="1" xfId="0" applyNumberFormat="1" applyFont="1" applyBorder="1" applyAlignment="1">
      <alignment horizont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49" fontId="0" fillId="8" borderId="1" xfId="0" applyNumberFormat="1" applyFill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8" fillId="12" borderId="5" xfId="0" applyFont="1" applyFill="1" applyBorder="1" applyAlignment="1">
      <alignment horizontal="center" vertical="center"/>
    </xf>
    <xf numFmtId="0" fontId="18" fillId="11" borderId="7" xfId="0" applyFont="1" applyFill="1" applyBorder="1" applyAlignment="1">
      <alignment horizontal="center" vertical="center"/>
    </xf>
    <xf numFmtId="0" fontId="20" fillId="11" borderId="5" xfId="0" applyFont="1" applyFill="1" applyBorder="1" applyAlignment="1" applyProtection="1">
      <alignment horizontal="center" vertical="center"/>
    </xf>
    <xf numFmtId="0" fontId="20" fillId="11" borderId="7" xfId="0" applyFont="1" applyFill="1" applyBorder="1" applyAlignment="1" applyProtection="1">
      <alignment horizontal="center" vertical="center"/>
    </xf>
    <xf numFmtId="0" fontId="20" fillId="11" borderId="5" xfId="0" applyFont="1" applyFill="1" applyBorder="1" applyAlignment="1">
      <alignment horizontal="center" vertical="center"/>
    </xf>
    <xf numFmtId="0" fontId="20" fillId="11" borderId="7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66" fontId="0" fillId="0" borderId="12" xfId="1" applyNumberFormat="1" applyFont="1" applyBorder="1" applyAlignment="1">
      <alignment horizontal="center" vertical="center"/>
    </xf>
    <xf numFmtId="166" fontId="0" fillId="0" borderId="0" xfId="1" applyNumberFormat="1" applyFont="1" applyBorder="1" applyAlignment="1">
      <alignment horizontal="center" vertical="center"/>
    </xf>
    <xf numFmtId="166" fontId="0" fillId="0" borderId="13" xfId="1" applyNumberFormat="1" applyFont="1" applyBorder="1" applyAlignment="1">
      <alignment horizontal="center" vertical="center"/>
    </xf>
    <xf numFmtId="166" fontId="0" fillId="0" borderId="8" xfId="1" applyNumberFormat="1" applyFont="1" applyBorder="1" applyAlignment="1">
      <alignment horizontal="center" vertical="center"/>
    </xf>
    <xf numFmtId="166" fontId="0" fillId="0" borderId="9" xfId="1" applyNumberFormat="1" applyFont="1" applyBorder="1" applyAlignment="1">
      <alignment horizontal="center" vertical="center"/>
    </xf>
    <xf numFmtId="166" fontId="0" fillId="0" borderId="10" xfId="1" applyNumberFormat="1" applyFont="1" applyBorder="1" applyAlignment="1">
      <alignment horizontal="center" vertical="center"/>
    </xf>
    <xf numFmtId="166" fontId="0" fillId="0" borderId="2" xfId="1" applyNumberFormat="1" applyFont="1" applyBorder="1" applyAlignment="1">
      <alignment horizontal="center" vertical="center"/>
    </xf>
    <xf numFmtId="166" fontId="0" fillId="0" borderId="3" xfId="1" applyNumberFormat="1" applyFont="1" applyBorder="1" applyAlignment="1">
      <alignment horizontal="center" vertical="center"/>
    </xf>
    <xf numFmtId="166" fontId="0" fillId="0" borderId="4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2" fillId="14" borderId="3" xfId="0" applyFont="1" applyFill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0" fillId="0" borderId="0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2" xfId="0" quotePrefix="1" applyBorder="1" applyAlignment="1">
      <alignment horizontal="left" vertical="center" wrapText="1"/>
    </xf>
    <xf numFmtId="0" fontId="0" fillId="0" borderId="0" xfId="0" quotePrefix="1" applyBorder="1" applyAlignment="1">
      <alignment horizontal="left" vertical="center" wrapText="1"/>
    </xf>
    <xf numFmtId="0" fontId="0" fillId="0" borderId="12" xfId="0" quotePrefix="1" applyBorder="1" applyAlignment="1">
      <alignment horizontal="left" vertical="center"/>
    </xf>
    <xf numFmtId="0" fontId="0" fillId="0" borderId="0" xfId="0" quotePrefix="1" applyBorder="1" applyAlignment="1">
      <alignment horizontal="left" vertical="center"/>
    </xf>
    <xf numFmtId="0" fontId="23" fillId="0" borderId="8" xfId="0" applyFont="1" applyBorder="1" applyAlignment="1">
      <alignment horizontal="left" vertical="top" wrapText="1"/>
    </xf>
    <xf numFmtId="0" fontId="23" fillId="0" borderId="9" xfId="0" applyFont="1" applyBorder="1" applyAlignment="1">
      <alignment horizontal="left" vertical="top" wrapText="1"/>
    </xf>
    <xf numFmtId="0" fontId="23" fillId="0" borderId="10" xfId="0" applyFont="1" applyBorder="1" applyAlignment="1">
      <alignment horizontal="left" vertical="top" wrapText="1"/>
    </xf>
    <xf numFmtId="0" fontId="5" fillId="4" borderId="5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0" xfId="0" quotePrefix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8" xfId="0" quotePrefix="1" applyBorder="1" applyAlignment="1">
      <alignment horizontal="left" vertical="center" wrapText="1"/>
    </xf>
    <xf numFmtId="0" fontId="0" fillId="0" borderId="9" xfId="0" quotePrefix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2" fillId="13" borderId="0" xfId="0" applyFont="1" applyFill="1" applyBorder="1" applyAlignment="1">
      <alignment horizontal="left" vertical="center" wrapText="1"/>
    </xf>
    <xf numFmtId="0" fontId="32" fillId="0" borderId="0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3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2" fillId="14" borderId="9" xfId="0" applyFont="1" applyFill="1" applyBorder="1" applyAlignment="1">
      <alignment horizontal="left" vertical="center" wrapText="1"/>
    </xf>
    <xf numFmtId="0" fontId="32" fillId="0" borderId="9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32" fillId="16" borderId="0" xfId="0" applyFont="1" applyFill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166" fontId="0" fillId="0" borderId="5" xfId="1" applyNumberFormat="1" applyFont="1" applyBorder="1" applyAlignment="1">
      <alignment horizontal="center" vertical="center"/>
    </xf>
    <xf numFmtId="166" fontId="0" fillId="0" borderId="6" xfId="1" applyNumberFormat="1" applyFont="1" applyBorder="1" applyAlignment="1">
      <alignment horizontal="center" vertical="center"/>
    </xf>
    <xf numFmtId="166" fontId="0" fillId="0" borderId="7" xfId="1" applyNumberFormat="1" applyFont="1" applyBorder="1" applyAlignment="1">
      <alignment horizontal="center" vertical="center"/>
    </xf>
    <xf numFmtId="0" fontId="32" fillId="14" borderId="0" xfId="0" applyFont="1" applyFill="1" applyBorder="1" applyAlignment="1">
      <alignment horizontal="left" vertical="center" wrapText="1"/>
    </xf>
    <xf numFmtId="165" fontId="0" fillId="0" borderId="5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43" fontId="0" fillId="0" borderId="2" xfId="1" applyFont="1" applyBorder="1" applyAlignment="1">
      <alignment horizontal="center" vertical="center"/>
    </xf>
    <xf numFmtId="43" fontId="0" fillId="0" borderId="3" xfId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23" fillId="0" borderId="5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left" vertical="top" wrapText="1"/>
    </xf>
    <xf numFmtId="0" fontId="23" fillId="0" borderId="7" xfId="0" applyFont="1" applyBorder="1" applyAlignment="1">
      <alignment horizontal="left" vertical="top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left" wrapText="1"/>
    </xf>
    <xf numFmtId="0" fontId="2" fillId="0" borderId="1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B$47" lockText="1" noThreeD="1"/>
</file>

<file path=xl/ctrlProps/ctrlProp2.xml><?xml version="1.0" encoding="utf-8"?>
<formControlPr xmlns="http://schemas.microsoft.com/office/spreadsheetml/2009/9/main" objectType="CheckBox" checked="Checked" fmlaLink="$B$48" lockText="1" noThreeD="1"/>
</file>

<file path=xl/ctrlProps/ctrlProp3.xml><?xml version="1.0" encoding="utf-8"?>
<formControlPr xmlns="http://schemas.microsoft.com/office/spreadsheetml/2009/9/main" objectType="CheckBox" fmlaLink="$B$49" lockText="1" noThreeD="1"/>
</file>

<file path=xl/ctrlProps/ctrlProp4.xml><?xml version="1.0" encoding="utf-8"?>
<formControlPr xmlns="http://schemas.microsoft.com/office/spreadsheetml/2009/9/main" objectType="CheckBox" fmlaLink="$B$30" lockText="1" noThreeD="1"/>
</file>

<file path=xl/ctrlProps/ctrlProp5.xml><?xml version="1.0" encoding="utf-8"?>
<formControlPr xmlns="http://schemas.microsoft.com/office/spreadsheetml/2009/9/main" objectType="CheckBox" checked="Checked" fmlaLink="$E$14" lockText="1" noThreeD="1"/>
</file>

<file path=xl/ctrlProps/ctrlProp6.xml><?xml version="1.0" encoding="utf-8"?>
<formControlPr xmlns="http://schemas.microsoft.com/office/spreadsheetml/2009/9/main" objectType="CheckBox" fmlaLink="$G$14" lockText="1" noThreeD="1"/>
</file>

<file path=xl/ctrlProps/ctrlProp7.xml><?xml version="1.0" encoding="utf-8"?>
<formControlPr xmlns="http://schemas.microsoft.com/office/spreadsheetml/2009/9/main" objectType="CheckBox" fmlaLink="$I$14" lockText="1" noThreeD="1"/>
</file>

<file path=xl/ctrlProps/ctrlProp8.xml><?xml version="1.0" encoding="utf-8"?>
<formControlPr xmlns="http://schemas.microsoft.com/office/spreadsheetml/2009/9/main" objectType="CheckBox" checked="Checked" fmlaLink="$K$8" lockText="1" noThreeD="1"/>
</file>

<file path=xl/ctrlProps/ctrlProp9.xml><?xml version="1.0" encoding="utf-8"?>
<formControlPr xmlns="http://schemas.microsoft.com/office/spreadsheetml/2009/9/main" objectType="Radio" firstButton="1" fmlaLink="$K$9" lockText="1" noThreeD="1"/>
</file>

<file path=xl/ctrlProps/ctrlProp10.xml><?xml version="1.0" encoding="utf-8"?>
<formControlPr xmlns="http://schemas.microsoft.com/office/spreadsheetml/2009/9/main" objectType="Radio" checked="Checked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CheckBox" checked="Checked" fmlaLink="$Q$4" lockText="1" noThreeD="1"/>
</file>

<file path=xl/ctrlProps/ctrlProp14.xml><?xml version="1.0" encoding="utf-8"?>
<formControlPr xmlns="http://schemas.microsoft.com/office/spreadsheetml/2009/9/main" objectType="CheckBox" checked="Checked" fmlaLink="$Q$5" lockText="1" noThreeD="1"/>
</file>

<file path=xl/ctrlProps/ctrlProp15.xml><?xml version="1.0" encoding="utf-8"?>
<formControlPr xmlns="http://schemas.microsoft.com/office/spreadsheetml/2009/9/main" objectType="CheckBox" fmlaLink="$Q$6" lockText="1" noThreeD="1"/>
</file>

<file path=xl/ctrlProps/ctrlProp16.xml><?xml version="1.0" encoding="utf-8"?>
<formControlPr xmlns="http://schemas.microsoft.com/office/spreadsheetml/2009/9/main" objectType="CheckBox" fmlaLink="$Q$7" lockText="1" noThreeD="1"/>
</file>

<file path=xl/ctrlProps/ctrlProp17.xml><?xml version="1.0" encoding="utf-8"?>
<formControlPr xmlns="http://schemas.microsoft.com/office/spreadsheetml/2009/9/main" objectType="CheckBox" fmlaLink="$Q$8" lockText="1" noThreeD="1"/>
</file>

<file path=xl/ctrlProps/ctrlProp18.xml><?xml version="1.0" encoding="utf-8"?>
<formControlPr xmlns="http://schemas.microsoft.com/office/spreadsheetml/2009/9/main" objectType="CheckBox" fmlaLink="$Q$9" lockText="1" noThreeD="1"/>
</file>

<file path=xl/ctrlProps/ctrlProp19.xml><?xml version="1.0" encoding="utf-8"?>
<formControlPr xmlns="http://schemas.microsoft.com/office/spreadsheetml/2009/9/main" objectType="Radio" firstButton="1" fmlaLink="$K$10" lockText="1" noThreeD="1"/>
</file>

<file path=xl/ctrlProps/ctrlProp20.xml><?xml version="1.0" encoding="utf-8"?>
<formControlPr xmlns="http://schemas.microsoft.com/office/spreadsheetml/2009/9/main" objectType="Radio" checked="Checked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GBox" noThreeD="1"/>
</file>

<file path=xl/ctrlProps/ctrlProp23.xml><?xml version="1.0" encoding="utf-8"?>
<formControlPr xmlns="http://schemas.microsoft.com/office/spreadsheetml/2009/9/main" objectType="CheckBox" checked="Checked" fmlaLink="$C$38" lockText="1" noThreeD="1"/>
</file>

<file path=xl/ctrlProps/ctrlProp24.xml><?xml version="1.0" encoding="utf-8"?>
<formControlPr xmlns="http://schemas.microsoft.com/office/spreadsheetml/2009/9/main" objectType="CheckBox" checked="Checked" fmlaLink="$C$39" lockText="1" noThreeD="1"/>
</file>

<file path=xl/ctrlProps/ctrlProp25.xml><?xml version="1.0" encoding="utf-8"?>
<formControlPr xmlns="http://schemas.microsoft.com/office/spreadsheetml/2009/9/main" objectType="CheckBox" checked="Checked" fmlaLink="$C$40" lockText="1" noThreeD="1"/>
</file>

<file path=xl/ctrlProps/ctrlProp26.xml><?xml version="1.0" encoding="utf-8"?>
<formControlPr xmlns="http://schemas.microsoft.com/office/spreadsheetml/2009/9/main" objectType="CheckBox" checked="Checked" fmlaLink="$C$41" lockText="1" noThreeD="1"/>
</file>

<file path=xl/ctrlProps/ctrlProp27.xml><?xml version="1.0" encoding="utf-8"?>
<formControlPr xmlns="http://schemas.microsoft.com/office/spreadsheetml/2009/9/main" objectType="CheckBox" fmlaLink="$C$42" lockText="1" noThreeD="1"/>
</file>

<file path=xl/ctrlProps/ctrlProp28.xml><?xml version="1.0" encoding="utf-8"?>
<formControlPr xmlns="http://schemas.microsoft.com/office/spreadsheetml/2009/9/main" objectType="CheckBox" fmlaLink="$C$43" lockText="1" noThreeD="1"/>
</file>

<file path=xl/ctrlProps/ctrlProp29.xml><?xml version="1.0" encoding="utf-8"?>
<formControlPr xmlns="http://schemas.microsoft.com/office/spreadsheetml/2009/9/main" objectType="CheckBox" fmlaLink="$C$44" lockText="1" noThreeD="1"/>
</file>

<file path=xl/ctrlProps/ctrlProp30.xml><?xml version="1.0" encoding="utf-8"?>
<formControlPr xmlns="http://schemas.microsoft.com/office/spreadsheetml/2009/9/main" objectType="CheckBox" fmlaLink="$C$45" lockText="1" noThreeD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CheckBox" fmlaLink="#REF!" lockText="1" noThreeD="1"/>
</file>

<file path=xl/ctrlProps/ctrlProp33.xml><?xml version="1.0" encoding="utf-8"?>
<formControlPr xmlns="http://schemas.microsoft.com/office/spreadsheetml/2009/9/main" objectType="Radio" firstButton="1" fmlaLink="$D$34" lockText="1" noThreeD="1"/>
</file>

<file path=xl/ctrlProps/ctrlProp34.xml><?xml version="1.0" encoding="utf-8"?>
<formControlPr xmlns="http://schemas.microsoft.com/office/spreadsheetml/2009/9/main" objectType="Radio" checked="Checked" lockText="1" noThreeD="1"/>
</file>

<file path=xl/ctrlProps/ctrlProp35.xml><?xml version="1.0" encoding="utf-8"?>
<formControlPr xmlns="http://schemas.microsoft.com/office/spreadsheetml/2009/9/main" objectType="Radio" firstButton="1" fmlaLink="$A$36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Radio" checked="Checked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46</xdr:row>
          <xdr:rowOff>45720</xdr:rowOff>
        </xdr:from>
        <xdr:to>
          <xdr:col>1</xdr:col>
          <xdr:colOff>312420</xdr:colOff>
          <xdr:row>46</xdr:row>
          <xdr:rowOff>213360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="" xmlns:a16="http://schemas.microsoft.com/office/drawing/2014/main" id="{00000000-0008-0000-00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45720</xdr:colOff>
          <xdr:row>47</xdr:row>
          <xdr:rowOff>45720</xdr:rowOff>
        </xdr:from>
        <xdr:to>
          <xdr:col>1</xdr:col>
          <xdr:colOff>312420</xdr:colOff>
          <xdr:row>47</xdr:row>
          <xdr:rowOff>213360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=""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30480</xdr:colOff>
          <xdr:row>48</xdr:row>
          <xdr:rowOff>15240</xdr:rowOff>
        </xdr:from>
        <xdr:to>
          <xdr:col>1</xdr:col>
          <xdr:colOff>297180</xdr:colOff>
          <xdr:row>48</xdr:row>
          <xdr:rowOff>182880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=""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175260</xdr:colOff>
          <xdr:row>30</xdr:row>
          <xdr:rowOff>45720</xdr:rowOff>
        </xdr:from>
        <xdr:to>
          <xdr:col>0</xdr:col>
          <xdr:colOff>845820</xdr:colOff>
          <xdr:row>31</xdr:row>
          <xdr:rowOff>7620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="" xmlns:a16="http://schemas.microsoft.com/office/drawing/2014/main" id="{00000000-0008-0000-00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โรยหิน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76200</xdr:colOff>
          <xdr:row>13</xdr:row>
          <xdr:rowOff>0</xdr:rowOff>
        </xdr:from>
        <xdr:to>
          <xdr:col>4</xdr:col>
          <xdr:colOff>342900</xdr:colOff>
          <xdr:row>13</xdr:row>
          <xdr:rowOff>236220</xdr:rowOff>
        </xdr:to>
        <xdr:sp macro="" textlink="">
          <xdr:nvSpPr>
            <xdr:cNvPr id="4108" name="Check Box 12" descr="บ่อส่วน 1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="" xmlns:a16="http://schemas.microsoft.com/office/drawing/2014/main" id="{00000000-0008-0000-00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83820</xdr:colOff>
          <xdr:row>13</xdr:row>
          <xdr:rowOff>38100</xdr:rowOff>
        </xdr:from>
        <xdr:to>
          <xdr:col>6</xdr:col>
          <xdr:colOff>350520</xdr:colOff>
          <xdr:row>13</xdr:row>
          <xdr:rowOff>213360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="" xmlns:a16="http://schemas.microsoft.com/office/drawing/2014/main" id="{00000000-0008-0000-00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83820</xdr:colOff>
          <xdr:row>13</xdr:row>
          <xdr:rowOff>0</xdr:rowOff>
        </xdr:from>
        <xdr:to>
          <xdr:col>8</xdr:col>
          <xdr:colOff>350520</xdr:colOff>
          <xdr:row>13</xdr:row>
          <xdr:rowOff>175260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="" xmlns:a16="http://schemas.microsoft.com/office/drawing/2014/main" id="{00000000-0008-0000-00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10</xdr:col>
      <xdr:colOff>95250</xdr:colOff>
      <xdr:row>10</xdr:row>
      <xdr:rowOff>38100</xdr:rowOff>
    </xdr:from>
    <xdr:to>
      <xdr:col>13</xdr:col>
      <xdr:colOff>318052</xdr:colOff>
      <xdr:row>12</xdr:row>
      <xdr:rowOff>85725</xdr:rowOff>
    </xdr:to>
    <xdr:sp macro="[0]!checkCusInfo" textlink="">
      <xdr:nvSpPr>
        <xdr:cNvPr id="3" name="สี่เหลี่ยมผืนผ้ามุมมน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7032763" y="2516257"/>
          <a:ext cx="1276350" cy="683729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400" b="1"/>
            <a:t>คลิกเพื่อ</a:t>
          </a:r>
        </a:p>
        <a:p>
          <a:pPr algn="ctr"/>
          <a:r>
            <a:rPr lang="th-TH" sz="1400" b="1"/>
            <a:t>กรอกข้อมูล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114300</xdr:colOff>
          <xdr:row>7</xdr:row>
          <xdr:rowOff>38100</xdr:rowOff>
        </xdr:from>
        <xdr:to>
          <xdr:col>5</xdr:col>
          <xdr:colOff>480060</xdr:colOff>
          <xdr:row>7</xdr:row>
          <xdr:rowOff>228600</xdr:rowOff>
        </xdr:to>
        <xdr:sp macro="" textlink="">
          <xdr:nvSpPr>
            <xdr:cNvPr id="4129" name="Quote date 33" hidden="1">
              <a:extLst>
                <a:ext uri="{63B3BB69-23CF-44E3-9099-C40C66FF867C}">
                  <a14:compatExt spid="_x0000_s4129"/>
                </a:ext>
                <a:ext uri="{FF2B5EF4-FFF2-40B4-BE49-F238E27FC236}">
                  <a16:creationId xmlns="" xmlns:a16="http://schemas.microsoft.com/office/drawing/2014/main" id="{00000000-0008-0000-0000-00002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กำหนดวันที่เอง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533400</xdr:colOff>
          <xdr:row>8</xdr:row>
          <xdr:rowOff>22860</xdr:rowOff>
        </xdr:from>
        <xdr:to>
          <xdr:col>6</xdr:col>
          <xdr:colOff>106680</xdr:colOff>
          <xdr:row>8</xdr:row>
          <xdr:rowOff>259080</xdr:rowOff>
        </xdr:to>
        <xdr:sp macro="" textlink="">
          <xdr:nvSpPr>
            <xdr:cNvPr id="4142" name="Opt_Tul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="" xmlns:a16="http://schemas.microsoft.com/office/drawing/2014/main" id="{00000000-0008-0000-00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ตุล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0</xdr:colOff>
          <xdr:row>8</xdr:row>
          <xdr:rowOff>60960</xdr:rowOff>
        </xdr:from>
        <xdr:to>
          <xdr:col>7</xdr:col>
          <xdr:colOff>297180</xdr:colOff>
          <xdr:row>8</xdr:row>
          <xdr:rowOff>297180</xdr:rowOff>
        </xdr:to>
        <xdr:sp macro="" textlink="">
          <xdr:nvSpPr>
            <xdr:cNvPr id="4143" name="Opt_Bua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="" xmlns:a16="http://schemas.microsoft.com/office/drawing/2014/main" id="{00000000-0008-0000-00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บัว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7620</xdr:colOff>
          <xdr:row>8</xdr:row>
          <xdr:rowOff>60960</xdr:rowOff>
        </xdr:from>
        <xdr:to>
          <xdr:col>8</xdr:col>
          <xdr:colOff>83820</xdr:colOff>
          <xdr:row>8</xdr:row>
          <xdr:rowOff>297180</xdr:rowOff>
        </xdr:to>
        <xdr:sp macro="" textlink="">
          <xdr:nvSpPr>
            <xdr:cNvPr id="4150" name="Opt_Sale1" hidden="1">
              <a:extLst>
                <a:ext uri="{63B3BB69-23CF-44E3-9099-C40C66FF867C}">
                  <a14:compatExt spid="_x0000_s4150"/>
                </a:ext>
                <a:ext uri="{FF2B5EF4-FFF2-40B4-BE49-F238E27FC236}">
                  <a16:creationId xmlns="" xmlns:a16="http://schemas.microsoft.com/office/drawing/2014/main" id="{00000000-0008-0000-0000-00003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sale1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121920</xdr:colOff>
          <xdr:row>8</xdr:row>
          <xdr:rowOff>38100</xdr:rowOff>
        </xdr:from>
        <xdr:to>
          <xdr:col>8</xdr:col>
          <xdr:colOff>365760</xdr:colOff>
          <xdr:row>8</xdr:row>
          <xdr:rowOff>266700</xdr:rowOff>
        </xdr:to>
        <xdr:sp macro="" textlink="">
          <xdr:nvSpPr>
            <xdr:cNvPr id="4151" name="Group Box 55" hidden="1">
              <a:extLst>
                <a:ext uri="{63B3BB69-23CF-44E3-9099-C40C66FF867C}">
                  <a14:compatExt spid="_x0000_s4151"/>
                </a:ext>
                <a:ext uri="{FF2B5EF4-FFF2-40B4-BE49-F238E27FC236}">
                  <a16:creationId xmlns="" xmlns:a16="http://schemas.microsoft.com/office/drawing/2014/main" id="{00000000-0008-0000-0000-00003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ชื่อผู้ขาย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190500</xdr:colOff>
          <xdr:row>9</xdr:row>
          <xdr:rowOff>83820</xdr:rowOff>
        </xdr:from>
        <xdr:to>
          <xdr:col>5</xdr:col>
          <xdr:colOff>403860</xdr:colOff>
          <xdr:row>10</xdr:row>
          <xdr:rowOff>45720</xdr:rowOff>
        </xdr:to>
        <xdr:sp macro="" textlink="">
          <xdr:nvSpPr>
            <xdr:cNvPr id="4155" name="Chk_ChoosePool" hidden="1">
              <a:extLst>
                <a:ext uri="{63B3BB69-23CF-44E3-9099-C40C66FF867C}">
                  <a14:compatExt spid="_x0000_s4155"/>
                </a:ext>
                <a:ext uri="{FF2B5EF4-FFF2-40B4-BE49-F238E27FC236}">
                  <a16:creationId xmlns="" xmlns:a16="http://schemas.microsoft.com/office/drawing/2014/main" id="{00000000-0008-0000-0000-00003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สระว่ายน้ำ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190500</xdr:colOff>
          <xdr:row>10</xdr:row>
          <xdr:rowOff>45720</xdr:rowOff>
        </xdr:from>
        <xdr:to>
          <xdr:col>6</xdr:col>
          <xdr:colOff>60960</xdr:colOff>
          <xdr:row>11</xdr:row>
          <xdr:rowOff>7620</xdr:rowOff>
        </xdr:to>
        <xdr:sp macro="" textlink="">
          <xdr:nvSpPr>
            <xdr:cNvPr id="4156" name="Chk_Ranang" hidden="1">
              <a:extLst>
                <a:ext uri="{63B3BB69-23CF-44E3-9099-C40C66FF867C}">
                  <a14:compatExt spid="_x0000_s4156"/>
                </a:ext>
                <a:ext uri="{FF2B5EF4-FFF2-40B4-BE49-F238E27FC236}">
                  <a16:creationId xmlns="" xmlns:a16="http://schemas.microsoft.com/office/drawing/2014/main" id="{00000000-0008-0000-0000-00003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พื้นระแนง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182880</xdr:colOff>
          <xdr:row>11</xdr:row>
          <xdr:rowOff>30480</xdr:rowOff>
        </xdr:from>
        <xdr:to>
          <xdr:col>6</xdr:col>
          <xdr:colOff>22860</xdr:colOff>
          <xdr:row>11</xdr:row>
          <xdr:rowOff>266700</xdr:rowOff>
        </xdr:to>
        <xdr:sp macro="" textlink="">
          <xdr:nvSpPr>
            <xdr:cNvPr id="4157" name="Chk_ShowerArea" hidden="1">
              <a:extLst>
                <a:ext uri="{63B3BB69-23CF-44E3-9099-C40C66FF867C}">
                  <a14:compatExt spid="_x0000_s4157"/>
                </a:ext>
                <a:ext uri="{FF2B5EF4-FFF2-40B4-BE49-F238E27FC236}">
                  <a16:creationId xmlns="" xmlns:a16="http://schemas.microsoft.com/office/drawing/2014/main" id="{00000000-0008-0000-0000-00003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พื้นที่อาบน้ำ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403860</xdr:colOff>
          <xdr:row>10</xdr:row>
          <xdr:rowOff>45720</xdr:rowOff>
        </xdr:from>
        <xdr:to>
          <xdr:col>7</xdr:col>
          <xdr:colOff>30480</xdr:colOff>
          <xdr:row>11</xdr:row>
          <xdr:rowOff>7620</xdr:rowOff>
        </xdr:to>
        <xdr:sp macro="" textlink="">
          <xdr:nvSpPr>
            <xdr:cNvPr id="4158" name="Chk_Fountain" hidden="1">
              <a:extLst>
                <a:ext uri="{63B3BB69-23CF-44E3-9099-C40C66FF867C}">
                  <a14:compatExt spid="_x0000_s4158"/>
                </a:ext>
                <a:ext uri="{FF2B5EF4-FFF2-40B4-BE49-F238E27FC236}">
                  <a16:creationId xmlns="" xmlns:a16="http://schemas.microsoft.com/office/drawing/2014/main" id="{00000000-0008-0000-0000-00003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บ่อน้ำพุ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403860</xdr:colOff>
          <xdr:row>11</xdr:row>
          <xdr:rowOff>7620</xdr:rowOff>
        </xdr:from>
        <xdr:to>
          <xdr:col>6</xdr:col>
          <xdr:colOff>502920</xdr:colOff>
          <xdr:row>11</xdr:row>
          <xdr:rowOff>251460</xdr:rowOff>
        </xdr:to>
        <xdr:sp macro="" textlink="">
          <xdr:nvSpPr>
            <xdr:cNvPr id="4159" name="Chk_FishPond" hidden="1">
              <a:extLst>
                <a:ext uri="{63B3BB69-23CF-44E3-9099-C40C66FF867C}">
                  <a14:compatExt spid="_x0000_s4159"/>
                </a:ext>
                <a:ext uri="{FF2B5EF4-FFF2-40B4-BE49-F238E27FC236}">
                  <a16:creationId xmlns="" xmlns:a16="http://schemas.microsoft.com/office/drawing/2014/main" id="{00000000-0008-0000-0000-00003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บ่อปลา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563880</xdr:colOff>
          <xdr:row>10</xdr:row>
          <xdr:rowOff>45720</xdr:rowOff>
        </xdr:from>
        <xdr:to>
          <xdr:col>8</xdr:col>
          <xdr:colOff>327660</xdr:colOff>
          <xdr:row>11</xdr:row>
          <xdr:rowOff>7620</xdr:rowOff>
        </xdr:to>
        <xdr:sp macro="" textlink="">
          <xdr:nvSpPr>
            <xdr:cNvPr id="4160" name="Chk_Gazebo" hidden="1">
              <a:extLst>
                <a:ext uri="{63B3BB69-23CF-44E3-9099-C40C66FF867C}">
                  <a14:compatExt spid="_x0000_s4160"/>
                </a:ext>
                <a:ext uri="{FF2B5EF4-FFF2-40B4-BE49-F238E27FC236}">
                  <a16:creationId xmlns="" xmlns:a16="http://schemas.microsoft.com/office/drawing/2014/main" id="{00000000-0008-0000-0000-00004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ศาลาพักผ่อน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350520</xdr:colOff>
          <xdr:row>9</xdr:row>
          <xdr:rowOff>68580</xdr:rowOff>
        </xdr:from>
        <xdr:to>
          <xdr:col>7</xdr:col>
          <xdr:colOff>76200</xdr:colOff>
          <xdr:row>10</xdr:row>
          <xdr:rowOff>30480</xdr:rowOff>
        </xdr:to>
        <xdr:sp macro="" textlink="">
          <xdr:nvSpPr>
            <xdr:cNvPr id="4161" name="Opt_Skimmer" hidden="1">
              <a:extLst>
                <a:ext uri="{63B3BB69-23CF-44E3-9099-C40C66FF867C}">
                  <a14:compatExt spid="_x0000_s4161"/>
                </a:ext>
                <a:ext uri="{FF2B5EF4-FFF2-40B4-BE49-F238E27FC236}">
                  <a16:creationId xmlns="" xmlns:a16="http://schemas.microsoft.com/office/drawing/2014/main" id="{00000000-0008-0000-0000-00004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สระสกิมเมอร์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22860</xdr:colOff>
          <xdr:row>9</xdr:row>
          <xdr:rowOff>68580</xdr:rowOff>
        </xdr:from>
        <xdr:to>
          <xdr:col>8</xdr:col>
          <xdr:colOff>327660</xdr:colOff>
          <xdr:row>10</xdr:row>
          <xdr:rowOff>30480</xdr:rowOff>
        </xdr:to>
        <xdr:sp macro="" textlink="">
          <xdr:nvSpPr>
            <xdr:cNvPr id="4162" name="Opt_Overflow" hidden="1">
              <a:extLst>
                <a:ext uri="{63B3BB69-23CF-44E3-9099-C40C66FF867C}">
                  <a14:compatExt spid="_x0000_s4162"/>
                </a:ext>
                <a:ext uri="{FF2B5EF4-FFF2-40B4-BE49-F238E27FC236}">
                  <a16:creationId xmlns="" xmlns:a16="http://schemas.microsoft.com/office/drawing/2014/main" id="{00000000-0008-0000-0000-00004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สระน้ำล้น overflow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556260</xdr:colOff>
          <xdr:row>9</xdr:row>
          <xdr:rowOff>68580</xdr:rowOff>
        </xdr:from>
        <xdr:to>
          <xdr:col>9</xdr:col>
          <xdr:colOff>502920</xdr:colOff>
          <xdr:row>10</xdr:row>
          <xdr:rowOff>30480</xdr:rowOff>
        </xdr:to>
        <xdr:sp macro="" textlink="">
          <xdr:nvSpPr>
            <xdr:cNvPr id="4163" name="Opt_NoPool" hidden="1">
              <a:extLst>
                <a:ext uri="{63B3BB69-23CF-44E3-9099-C40C66FF867C}">
                  <a14:compatExt spid="_x0000_s4163"/>
                </a:ext>
                <a:ext uri="{FF2B5EF4-FFF2-40B4-BE49-F238E27FC236}">
                  <a16:creationId xmlns="" xmlns:a16="http://schemas.microsoft.com/office/drawing/2014/main" id="{00000000-0008-0000-0000-00004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ไม่ทำ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137160</xdr:colOff>
          <xdr:row>9</xdr:row>
          <xdr:rowOff>22860</xdr:rowOff>
        </xdr:from>
        <xdr:to>
          <xdr:col>10</xdr:col>
          <xdr:colOff>0</xdr:colOff>
          <xdr:row>11</xdr:row>
          <xdr:rowOff>335280</xdr:rowOff>
        </xdr:to>
        <xdr:sp macro="" textlink="">
          <xdr:nvSpPr>
            <xdr:cNvPr id="4164" name="Group Box 68" hidden="1">
              <a:extLst>
                <a:ext uri="{63B3BB69-23CF-44E3-9099-C40C66FF867C}">
                  <a14:compatExt spid="_x0000_s4164"/>
                </a:ext>
                <a:ext uri="{FF2B5EF4-FFF2-40B4-BE49-F238E27FC236}">
                  <a16:creationId xmlns="" xmlns:a16="http://schemas.microsoft.com/office/drawing/2014/main" id="{00000000-0008-0000-0000-00004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เลือกงานที่ต้องการ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</xdr:colOff>
          <xdr:row>36</xdr:row>
          <xdr:rowOff>76200</xdr:rowOff>
        </xdr:from>
        <xdr:to>
          <xdr:col>3</xdr:col>
          <xdr:colOff>182880</xdr:colOff>
          <xdr:row>36</xdr:row>
          <xdr:rowOff>274320</xdr:rowOff>
        </xdr:to>
        <xdr:sp macro="" textlink="">
          <xdr:nvSpPr>
            <xdr:cNvPr id="4172" name="Check Box 76" hidden="1">
              <a:extLst>
                <a:ext uri="{63B3BB69-23CF-44E3-9099-C40C66FF867C}">
                  <a14:compatExt spid="_x0000_s4172"/>
                </a:ext>
                <a:ext uri="{FF2B5EF4-FFF2-40B4-BE49-F238E27FC236}">
                  <a16:creationId xmlns="" xmlns:a16="http://schemas.microsoft.com/office/drawing/2014/main" id="{00000000-0008-0000-0000-00004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ด้าน1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99060</xdr:colOff>
          <xdr:row>36</xdr:row>
          <xdr:rowOff>76200</xdr:rowOff>
        </xdr:from>
        <xdr:to>
          <xdr:col>3</xdr:col>
          <xdr:colOff>670560</xdr:colOff>
          <xdr:row>36</xdr:row>
          <xdr:rowOff>274320</xdr:rowOff>
        </xdr:to>
        <xdr:sp macro="" textlink="">
          <xdr:nvSpPr>
            <xdr:cNvPr id="4173" name="Check Box 77" hidden="1">
              <a:extLst>
                <a:ext uri="{63B3BB69-23CF-44E3-9099-C40C66FF867C}">
                  <a14:compatExt spid="_x0000_s4173"/>
                </a:ext>
                <a:ext uri="{FF2B5EF4-FFF2-40B4-BE49-F238E27FC236}">
                  <a16:creationId xmlns="" xmlns:a16="http://schemas.microsoft.com/office/drawing/2014/main" id="{00000000-0008-0000-0000-00004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ด้าน2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586740</xdr:colOff>
          <xdr:row>36</xdr:row>
          <xdr:rowOff>68580</xdr:rowOff>
        </xdr:from>
        <xdr:to>
          <xdr:col>3</xdr:col>
          <xdr:colOff>1158240</xdr:colOff>
          <xdr:row>36</xdr:row>
          <xdr:rowOff>266700</xdr:rowOff>
        </xdr:to>
        <xdr:sp macro="" textlink="">
          <xdr:nvSpPr>
            <xdr:cNvPr id="4174" name="Check Box 78" hidden="1">
              <a:extLst>
                <a:ext uri="{63B3BB69-23CF-44E3-9099-C40C66FF867C}">
                  <a14:compatExt spid="_x0000_s4174"/>
                </a:ext>
                <a:ext uri="{FF2B5EF4-FFF2-40B4-BE49-F238E27FC236}">
                  <a16:creationId xmlns="" xmlns:a16="http://schemas.microsoft.com/office/drawing/2014/main" id="{00000000-0008-0000-0000-00004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ด้าน3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1066800</xdr:colOff>
          <xdr:row>36</xdr:row>
          <xdr:rowOff>68580</xdr:rowOff>
        </xdr:from>
        <xdr:to>
          <xdr:col>3</xdr:col>
          <xdr:colOff>1638300</xdr:colOff>
          <xdr:row>36</xdr:row>
          <xdr:rowOff>266700</xdr:rowOff>
        </xdr:to>
        <xdr:sp macro="" textlink="">
          <xdr:nvSpPr>
            <xdr:cNvPr id="4175" name="Check Box 79" hidden="1">
              <a:extLst>
                <a:ext uri="{63B3BB69-23CF-44E3-9099-C40C66FF867C}">
                  <a14:compatExt spid="_x0000_s4175"/>
                </a:ext>
                <a:ext uri="{FF2B5EF4-FFF2-40B4-BE49-F238E27FC236}">
                  <a16:creationId xmlns="" xmlns:a16="http://schemas.microsoft.com/office/drawing/2014/main" id="{00000000-0008-0000-0000-00004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ด้าน4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1577340</xdr:colOff>
          <xdr:row>36</xdr:row>
          <xdr:rowOff>68580</xdr:rowOff>
        </xdr:from>
        <xdr:to>
          <xdr:col>3</xdr:col>
          <xdr:colOff>2148840</xdr:colOff>
          <xdr:row>36</xdr:row>
          <xdr:rowOff>266700</xdr:rowOff>
        </xdr:to>
        <xdr:sp macro="" textlink="">
          <xdr:nvSpPr>
            <xdr:cNvPr id="4176" name="Check Box 80" hidden="1">
              <a:extLst>
                <a:ext uri="{63B3BB69-23CF-44E3-9099-C40C66FF867C}">
                  <a14:compatExt spid="_x0000_s4176"/>
                </a:ext>
                <a:ext uri="{FF2B5EF4-FFF2-40B4-BE49-F238E27FC236}">
                  <a16:creationId xmlns="" xmlns:a16="http://schemas.microsoft.com/office/drawing/2014/main" id="{00000000-0008-0000-0000-00005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ด้าน5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2065020</xdr:colOff>
          <xdr:row>36</xdr:row>
          <xdr:rowOff>68580</xdr:rowOff>
        </xdr:from>
        <xdr:to>
          <xdr:col>4</xdr:col>
          <xdr:colOff>365760</xdr:colOff>
          <xdr:row>36</xdr:row>
          <xdr:rowOff>266700</xdr:rowOff>
        </xdr:to>
        <xdr:sp macro="" textlink="">
          <xdr:nvSpPr>
            <xdr:cNvPr id="4177" name="Check Box 81" hidden="1">
              <a:extLst>
                <a:ext uri="{63B3BB69-23CF-44E3-9099-C40C66FF867C}">
                  <a14:compatExt spid="_x0000_s4177"/>
                </a:ext>
                <a:ext uri="{FF2B5EF4-FFF2-40B4-BE49-F238E27FC236}">
                  <a16:creationId xmlns="" xmlns:a16="http://schemas.microsoft.com/office/drawing/2014/main" id="{00000000-0008-0000-0000-00005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ด้าน6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274320</xdr:colOff>
          <xdr:row>36</xdr:row>
          <xdr:rowOff>53340</xdr:rowOff>
        </xdr:from>
        <xdr:to>
          <xdr:col>5</xdr:col>
          <xdr:colOff>342900</xdr:colOff>
          <xdr:row>36</xdr:row>
          <xdr:rowOff>259080</xdr:rowOff>
        </xdr:to>
        <xdr:sp macro="" textlink="">
          <xdr:nvSpPr>
            <xdr:cNvPr id="4178" name="Check Box 82" hidden="1">
              <a:extLst>
                <a:ext uri="{63B3BB69-23CF-44E3-9099-C40C66FF867C}">
                  <a14:compatExt spid="_x0000_s4178"/>
                </a:ext>
                <a:ext uri="{FF2B5EF4-FFF2-40B4-BE49-F238E27FC236}">
                  <a16:creationId xmlns="" xmlns:a16="http://schemas.microsoft.com/office/drawing/2014/main" id="{00000000-0008-0000-0000-00005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ด้าน7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259080</xdr:colOff>
          <xdr:row>36</xdr:row>
          <xdr:rowOff>53340</xdr:rowOff>
        </xdr:from>
        <xdr:to>
          <xdr:col>6</xdr:col>
          <xdr:colOff>373380</xdr:colOff>
          <xdr:row>36</xdr:row>
          <xdr:rowOff>259080</xdr:rowOff>
        </xdr:to>
        <xdr:sp macro="" textlink="">
          <xdr:nvSpPr>
            <xdr:cNvPr id="4179" name="Check Box 83" hidden="1">
              <a:extLst>
                <a:ext uri="{63B3BB69-23CF-44E3-9099-C40C66FF867C}">
                  <a14:compatExt spid="_x0000_s4179"/>
                </a:ext>
                <a:ext uri="{FF2B5EF4-FFF2-40B4-BE49-F238E27FC236}">
                  <a16:creationId xmlns="" xmlns:a16="http://schemas.microsoft.com/office/drawing/2014/main" id="{00000000-0008-0000-0000-00005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ด้าน8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335280</xdr:colOff>
          <xdr:row>36</xdr:row>
          <xdr:rowOff>38100</xdr:rowOff>
        </xdr:from>
        <xdr:to>
          <xdr:col>6</xdr:col>
          <xdr:colOff>502920</xdr:colOff>
          <xdr:row>36</xdr:row>
          <xdr:rowOff>281940</xdr:rowOff>
        </xdr:to>
        <xdr:sp macro="" textlink="">
          <xdr:nvSpPr>
            <xdr:cNvPr id="4181" name="Group Box 85" hidden="1">
              <a:extLst>
                <a:ext uri="{63B3BB69-23CF-44E3-9099-C40C66FF867C}">
                  <a14:compatExt spid="_x0000_s4181"/>
                </a:ext>
                <a:ext uri="{FF2B5EF4-FFF2-40B4-BE49-F238E27FC236}">
                  <a16:creationId xmlns="" xmlns:a16="http://schemas.microsoft.com/office/drawing/2014/main" id="{00000000-0008-0000-0000-00005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ด้านของผนังดอกบ่อ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144780</xdr:colOff>
          <xdr:row>90</xdr:row>
          <xdr:rowOff>7620</xdr:rowOff>
        </xdr:from>
        <xdr:to>
          <xdr:col>0</xdr:col>
          <xdr:colOff>922020</xdr:colOff>
          <xdr:row>91</xdr:row>
          <xdr:rowOff>22860</xdr:rowOff>
        </xdr:to>
        <xdr:sp macro="" textlink="">
          <xdr:nvSpPr>
            <xdr:cNvPr id="4203" name="Check Box 107" hidden="1">
              <a:extLst>
                <a:ext uri="{63B3BB69-23CF-44E3-9099-C40C66FF867C}">
                  <a14:compatExt spid="_x0000_s4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Leelawadee"/>
                  <a:cs typeface="Leelawadee"/>
                </a:rPr>
                <a:t>เครื่องว่ายน้ำ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48186</xdr:colOff>
      <xdr:row>0</xdr:row>
      <xdr:rowOff>0</xdr:rowOff>
    </xdr:from>
    <xdr:to>
      <xdr:col>3</xdr:col>
      <xdr:colOff>172011</xdr:colOff>
      <xdr:row>3</xdr:row>
      <xdr:rowOff>39781</xdr:rowOff>
    </xdr:to>
    <xdr:pic>
      <xdr:nvPicPr>
        <xdr:cNvPr id="3" name="Picture 2" descr="ManNaam logo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487" t="7462" r="32649" b="13274"/>
        <a:stretch>
          <a:fillRect/>
        </a:stretch>
      </xdr:blipFill>
      <xdr:spPr bwMode="auto">
        <a:xfrm>
          <a:off x="238686" y="0"/>
          <a:ext cx="504825" cy="925046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34</xdr:row>
          <xdr:rowOff>22860</xdr:rowOff>
        </xdr:from>
        <xdr:to>
          <xdr:col>6</xdr:col>
          <xdr:colOff>38100</xdr:colOff>
          <xdr:row>34</xdr:row>
          <xdr:rowOff>251460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ส่วนลดพิเศษ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60960</xdr:colOff>
          <xdr:row>34</xdr:row>
          <xdr:rowOff>7620</xdr:rowOff>
        </xdr:from>
        <xdr:to>
          <xdr:col>8</xdr:col>
          <xdr:colOff>160020</xdr:colOff>
          <xdr:row>34</xdr:row>
          <xdr:rowOff>228600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ไม่เลือก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217713</xdr:colOff>
      <xdr:row>12</xdr:row>
      <xdr:rowOff>13607</xdr:rowOff>
    </xdr:from>
    <xdr:to>
      <xdr:col>25</xdr:col>
      <xdr:colOff>3322864</xdr:colOff>
      <xdr:row>15</xdr:row>
      <xdr:rowOff>283668</xdr:rowOff>
    </xdr:to>
    <xdr:sp macro="" textlink="">
      <xdr:nvSpPr>
        <xdr:cNvPr id="5" name="กล่องข้อความ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spect="1"/>
        </xdr:cNvSpPr>
      </xdr:nvSpPr>
      <xdr:spPr>
        <a:xfrm>
          <a:off x="6463392" y="3156857"/>
          <a:ext cx="3105151" cy="508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น้อยกว่า 8 ตรม.บวกราคาเพิ่ม ตรม.ละ 2000 บาท โปรแกรมคำนวณให้  โปรดตรวจอีกครั้ง</a:t>
          </a:r>
          <a:endParaRPr lang="en-US" sz="1100">
            <a:solidFill>
              <a:srgbClr val="FF0000"/>
            </a:solidFill>
          </a:endParaRPr>
        </a:p>
      </xdr:txBody>
    </xdr:sp>
    <xdr:clientData fPrintsWithSheet="0"/>
  </xdr:twoCellAnchor>
  <xdr:twoCellAnchor editAs="oneCell">
    <xdr:from>
      <xdr:col>25</xdr:col>
      <xdr:colOff>152400</xdr:colOff>
      <xdr:row>21</xdr:row>
      <xdr:rowOff>29937</xdr:rowOff>
    </xdr:from>
    <xdr:to>
      <xdr:col>25</xdr:col>
      <xdr:colOff>3261633</xdr:colOff>
      <xdr:row>22</xdr:row>
      <xdr:rowOff>253093</xdr:rowOff>
    </xdr:to>
    <xdr:sp macro="" textlink="">
      <xdr:nvSpPr>
        <xdr:cNvPr id="6" name="กล่องข้อความ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>
          <a:spLocks noChangeAspect="1"/>
        </xdr:cNvSpPr>
      </xdr:nvSpPr>
      <xdr:spPr>
        <a:xfrm>
          <a:off x="6398079" y="6057901"/>
          <a:ext cx="3109233" cy="508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กระเบื้องโมเสค ราคาเริ่มต้นที่ 2,500 / ตรม.</a:t>
          </a:r>
          <a:endParaRPr lang="en-US" sz="1100">
            <a:solidFill>
              <a:srgbClr val="FF0000"/>
            </a:solidFill>
          </a:endParaRPr>
        </a:p>
      </xdr:txBody>
    </xdr:sp>
    <xdr:clientData fPrintsWithSheet="0"/>
  </xdr:twoCellAnchor>
  <xdr:twoCellAnchor editAs="oneCell">
    <xdr:from>
      <xdr:col>25</xdr:col>
      <xdr:colOff>220435</xdr:colOff>
      <xdr:row>25</xdr:row>
      <xdr:rowOff>39461</xdr:rowOff>
    </xdr:from>
    <xdr:to>
      <xdr:col>25</xdr:col>
      <xdr:colOff>3329668</xdr:colOff>
      <xdr:row>27</xdr:row>
      <xdr:rowOff>4082</xdr:rowOff>
    </xdr:to>
    <xdr:sp macro="" textlink="">
      <xdr:nvSpPr>
        <xdr:cNvPr id="7" name="กล่องข้อความ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>
          <a:spLocks noChangeAspect="1"/>
        </xdr:cNvSpPr>
      </xdr:nvSpPr>
      <xdr:spPr>
        <a:xfrm>
          <a:off x="6466114" y="6924675"/>
          <a:ext cx="3109233" cy="508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สระ 0-10 ตรม. 30,000 // สระ 11-20 ตรม. 35,000 </a:t>
          </a:r>
        </a:p>
        <a:p>
          <a:r>
            <a:rPr lang="th-TH" sz="1100">
              <a:solidFill>
                <a:srgbClr val="FF0000"/>
              </a:solidFill>
            </a:rPr>
            <a:t>สระ21-30 ตรม. 40,000 // สระ30-50 = 45,000</a:t>
          </a:r>
          <a:endParaRPr lang="en-US" sz="1100">
            <a:solidFill>
              <a:srgbClr val="FF0000"/>
            </a:solidFill>
          </a:endParaRPr>
        </a:p>
      </xdr:txBody>
    </xdr:sp>
    <xdr:clientData fPrintsWithSheet="0"/>
  </xdr:twoCellAnchor>
  <xdr:twoCellAnchor editAs="oneCell">
    <xdr:from>
      <xdr:col>25</xdr:col>
      <xdr:colOff>70757</xdr:colOff>
      <xdr:row>34</xdr:row>
      <xdr:rowOff>57147</xdr:rowOff>
    </xdr:from>
    <xdr:to>
      <xdr:col>26</xdr:col>
      <xdr:colOff>176894</xdr:colOff>
      <xdr:row>37</xdr:row>
      <xdr:rowOff>175531</xdr:rowOff>
    </xdr:to>
    <xdr:sp macro="" textlink="">
      <xdr:nvSpPr>
        <xdr:cNvPr id="8" name="กล่องข้อความ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>
          <a:spLocks noChangeAspect="1"/>
        </xdr:cNvSpPr>
      </xdr:nvSpPr>
      <xdr:spPr>
        <a:xfrm>
          <a:off x="6316436" y="12208326"/>
          <a:ext cx="3453494" cy="7034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ถ้าเป็นส่วนลดจำนวนให้ใส่ลบด้วย (-2000) เป็นต้น , </a:t>
          </a:r>
        </a:p>
        <a:p>
          <a:r>
            <a:rPr lang="th-TH" sz="1100">
              <a:solidFill>
                <a:srgbClr val="FF0000"/>
              </a:solidFill>
            </a:rPr>
            <a:t>ถ้า </a:t>
          </a:r>
          <a:r>
            <a:rPr lang="en-US" sz="1100">
              <a:solidFill>
                <a:srgbClr val="FF0000"/>
              </a:solidFill>
            </a:rPr>
            <a:t>vat 7% </a:t>
          </a:r>
          <a:r>
            <a:rPr lang="th-TH" sz="1100">
              <a:solidFill>
                <a:srgbClr val="FF0000"/>
              </a:solidFill>
            </a:rPr>
            <a:t>ให้แจ้งลูกค้าว่าต้องมีเพิ่มมูลค่าเพิ่ม 3%</a:t>
          </a:r>
        </a:p>
        <a:p>
          <a:r>
            <a:rPr lang="th-TH" sz="1100">
              <a:solidFill>
                <a:srgbClr val="FF0000"/>
              </a:solidFill>
            </a:rPr>
            <a:t>โดยใส่ในรายการเป็นค่าดำเนินการข้อสุดท้ายก่อนรวมราคา</a:t>
          </a:r>
          <a:endParaRPr lang="en-US" sz="1100">
            <a:solidFill>
              <a:srgbClr val="FF0000"/>
            </a:solidFill>
          </a:endParaRPr>
        </a:p>
      </xdr:txBody>
    </xdr:sp>
    <xdr:clientData fPrintsWithSheet="0"/>
  </xdr:twoCellAnchor>
  <xdr:twoCellAnchor editAs="oneCell">
    <xdr:from>
      <xdr:col>25</xdr:col>
      <xdr:colOff>111580</xdr:colOff>
      <xdr:row>42</xdr:row>
      <xdr:rowOff>202747</xdr:rowOff>
    </xdr:from>
    <xdr:to>
      <xdr:col>25</xdr:col>
      <xdr:colOff>3220813</xdr:colOff>
      <xdr:row>42</xdr:row>
      <xdr:rowOff>1930854</xdr:rowOff>
    </xdr:to>
    <xdr:sp macro="" textlink="">
      <xdr:nvSpPr>
        <xdr:cNvPr id="9" name="กล่องข้อความ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 txBox="1">
          <a:spLocks noChangeAspect="1"/>
        </xdr:cNvSpPr>
      </xdr:nvSpPr>
      <xdr:spPr>
        <a:xfrm>
          <a:off x="6357259" y="13360854"/>
          <a:ext cx="3109233" cy="17281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100">
            <a:solidFill>
              <a:srgbClr val="FF0000"/>
            </a:solidFill>
          </a:endParaRPr>
        </a:p>
        <a:p>
          <a:r>
            <a:rPr lang="th-TH" sz="1100">
              <a:solidFill>
                <a:srgbClr val="FF0000"/>
              </a:solidFill>
            </a:rPr>
            <a:t>.- ระบบจากุซซี่ไม่เกิน 5 หัวนวด แต่ละหัวห่างกัน 1</a:t>
          </a:r>
          <a:r>
            <a:rPr lang="en-US" sz="1100">
              <a:solidFill>
                <a:srgbClr val="FF0000"/>
              </a:solidFill>
            </a:rPr>
            <a:t>m</a:t>
          </a:r>
        </a:p>
        <a:p>
          <a:r>
            <a:rPr lang="en-US" sz="1100">
              <a:solidFill>
                <a:srgbClr val="FF0000"/>
              </a:solidFill>
            </a:rPr>
            <a:t>- </a:t>
          </a:r>
          <a:r>
            <a:rPr lang="th-TH" sz="1100">
              <a:solidFill>
                <a:srgbClr val="FF0000"/>
              </a:solidFill>
            </a:rPr>
            <a:t>หากหัวนวดเพิ่ม ราคาต้องเพิ่มขึ้น ให้บริษัท คำนวณ </a:t>
          </a:r>
        </a:p>
        <a:p>
          <a:r>
            <a:rPr lang="th-TH" sz="1100">
              <a:solidFill>
                <a:srgbClr val="FF0000"/>
              </a:solidFill>
            </a:rPr>
            <a:t>- ม่านน้ำ 1 แพ นับเป็น 1 หัวนวด</a:t>
          </a:r>
        </a:p>
        <a:p>
          <a:r>
            <a:rPr lang="th-TH" sz="1100">
              <a:solidFill>
                <a:srgbClr val="FF0000"/>
              </a:solidFill>
            </a:rPr>
            <a:t>- ไฟ </a:t>
          </a:r>
          <a:r>
            <a:rPr lang="en-US" sz="1100">
              <a:solidFill>
                <a:srgbClr val="FF0000"/>
              </a:solidFill>
            </a:rPr>
            <a:t>LED </a:t>
          </a:r>
          <a:r>
            <a:rPr lang="th-TH" sz="1100">
              <a:solidFill>
                <a:srgbClr val="FF0000"/>
              </a:solidFill>
            </a:rPr>
            <a:t>จะตั้งห่างกัน 2 เมตร กินไฟ 9-12</a:t>
          </a:r>
          <a:r>
            <a:rPr lang="en-US" sz="1100">
              <a:solidFill>
                <a:srgbClr val="FF0000"/>
              </a:solidFill>
            </a:rPr>
            <a:t>W </a:t>
          </a:r>
          <a:r>
            <a:rPr lang="th-TH" sz="1100">
              <a:solidFill>
                <a:srgbClr val="FF0000"/>
              </a:solidFill>
            </a:rPr>
            <a:t>ความสว่างประมาณ 100</a:t>
          </a:r>
          <a:r>
            <a:rPr lang="en-US" sz="1100">
              <a:solidFill>
                <a:srgbClr val="FF0000"/>
              </a:solidFill>
            </a:rPr>
            <a:t>W+ 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48186</xdr:colOff>
      <xdr:row>0</xdr:row>
      <xdr:rowOff>0</xdr:rowOff>
    </xdr:from>
    <xdr:to>
      <xdr:col>3</xdr:col>
      <xdr:colOff>172011</xdr:colOff>
      <xdr:row>3</xdr:row>
      <xdr:rowOff>39781</xdr:rowOff>
    </xdr:to>
    <xdr:pic>
      <xdr:nvPicPr>
        <xdr:cNvPr id="13" name="Picture 2" descr="ManNaam logo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487" t="7462" r="32649" b="13274"/>
        <a:stretch>
          <a:fillRect/>
        </a:stretch>
      </xdr:blipFill>
      <xdr:spPr bwMode="auto">
        <a:xfrm>
          <a:off x="238686" y="0"/>
          <a:ext cx="504825" cy="935131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35</xdr:row>
          <xdr:rowOff>38100</xdr:rowOff>
        </xdr:from>
        <xdr:to>
          <xdr:col>3</xdr:col>
          <xdr:colOff>99060</xdr:colOff>
          <xdr:row>35</xdr:row>
          <xdr:rowOff>236220</xdr:rowOff>
        </xdr:to>
        <xdr:sp macro="" textlink="">
          <xdr:nvSpPr>
            <xdr:cNvPr id="3082" name="Option 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=""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VAT 7%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35</xdr:row>
          <xdr:rowOff>22860</xdr:rowOff>
        </xdr:from>
        <xdr:to>
          <xdr:col>6</xdr:col>
          <xdr:colOff>38100</xdr:colOff>
          <xdr:row>35</xdr:row>
          <xdr:rowOff>251460</xdr:rowOff>
        </xdr:to>
        <xdr:sp macro="" textlink="">
          <xdr:nvSpPr>
            <xdr:cNvPr id="3083" name="Option 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="" xmlns:a16="http://schemas.microsoft.com/office/drawing/2014/main" id="{00000000-0008-0000-02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ส่วนลดพิเศษ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60960</xdr:colOff>
          <xdr:row>35</xdr:row>
          <xdr:rowOff>7620</xdr:rowOff>
        </xdr:from>
        <xdr:to>
          <xdr:col>8</xdr:col>
          <xdr:colOff>160020</xdr:colOff>
          <xdr:row>35</xdr:row>
          <xdr:rowOff>228600</xdr:rowOff>
        </xdr:to>
        <xdr:sp macro="" textlink="">
          <xdr:nvSpPr>
            <xdr:cNvPr id="3084" name="Option Button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=""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ไม่เลือก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38099</xdr:colOff>
      <xdr:row>12</xdr:row>
      <xdr:rowOff>28575</xdr:rowOff>
    </xdr:from>
    <xdr:to>
      <xdr:col>25</xdr:col>
      <xdr:colOff>3143250</xdr:colOff>
      <xdr:row>14</xdr:row>
      <xdr:rowOff>47624</xdr:rowOff>
    </xdr:to>
    <xdr:sp macro="" textlink="">
      <xdr:nvSpPr>
        <xdr:cNvPr id="2" name="กล่องข้อความ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spect="1"/>
        </xdr:cNvSpPr>
      </xdr:nvSpPr>
      <xdr:spPr>
        <a:xfrm>
          <a:off x="6181724" y="3143250"/>
          <a:ext cx="3105151" cy="5143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น้อยกว่า 8 ตรม.บวกราคาเพิ่ม ตรม.ละ 2000 บาท</a:t>
          </a:r>
          <a:endParaRPr lang="en-US" sz="1100">
            <a:solidFill>
              <a:srgbClr val="FF0000"/>
            </a:solidFill>
          </a:endParaRPr>
        </a:p>
      </xdr:txBody>
    </xdr:sp>
    <xdr:clientData fPrintsWithSheet="0"/>
  </xdr:twoCellAnchor>
  <xdr:twoCellAnchor editAs="oneCell">
    <xdr:from>
      <xdr:col>25</xdr:col>
      <xdr:colOff>54429</xdr:colOff>
      <xdr:row>24</xdr:row>
      <xdr:rowOff>31297</xdr:rowOff>
    </xdr:from>
    <xdr:to>
      <xdr:col>25</xdr:col>
      <xdr:colOff>3163662</xdr:colOff>
      <xdr:row>25</xdr:row>
      <xdr:rowOff>254453</xdr:rowOff>
    </xdr:to>
    <xdr:sp macro="" textlink="">
      <xdr:nvSpPr>
        <xdr:cNvPr id="11" name="กล่องข้อความ 10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 txBox="1">
          <a:spLocks noChangeAspect="1"/>
        </xdr:cNvSpPr>
      </xdr:nvSpPr>
      <xdr:spPr>
        <a:xfrm>
          <a:off x="6177643" y="6794047"/>
          <a:ext cx="3109233" cy="508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กระเบื้องโมเสค ราคาเริ่มต้นที่ 2,500 / ตรม.</a:t>
          </a:r>
          <a:endParaRPr lang="en-US" sz="1100">
            <a:solidFill>
              <a:srgbClr val="FF0000"/>
            </a:solidFill>
          </a:endParaRPr>
        </a:p>
      </xdr:txBody>
    </xdr:sp>
    <xdr:clientData fPrintsWithSheet="0"/>
  </xdr:twoCellAnchor>
  <xdr:twoCellAnchor editAs="oneCell">
    <xdr:from>
      <xdr:col>25</xdr:col>
      <xdr:colOff>122464</xdr:colOff>
      <xdr:row>27</xdr:row>
      <xdr:rowOff>40821</xdr:rowOff>
    </xdr:from>
    <xdr:to>
      <xdr:col>25</xdr:col>
      <xdr:colOff>3231697</xdr:colOff>
      <xdr:row>29</xdr:row>
      <xdr:rowOff>5441</xdr:rowOff>
    </xdr:to>
    <xdr:sp macro="" textlink="">
      <xdr:nvSpPr>
        <xdr:cNvPr id="12" name="กล่องข้อความ 11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 txBox="1">
          <a:spLocks noChangeAspect="1"/>
        </xdr:cNvSpPr>
      </xdr:nvSpPr>
      <xdr:spPr>
        <a:xfrm>
          <a:off x="6245678" y="7660821"/>
          <a:ext cx="3109233" cy="508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สระ 0-10 ตรม. 30,000 // สระ 11-20 ตรม. 35,000 </a:t>
          </a:r>
        </a:p>
        <a:p>
          <a:r>
            <a:rPr lang="th-TH" sz="1100">
              <a:solidFill>
                <a:srgbClr val="FF0000"/>
              </a:solidFill>
            </a:rPr>
            <a:t>สระ21-30 ตรม. 40,000 // สระ30-50 = 45,000</a:t>
          </a:r>
          <a:endParaRPr lang="en-US" sz="1100">
            <a:solidFill>
              <a:srgbClr val="FF0000"/>
            </a:solidFill>
          </a:endParaRPr>
        </a:p>
      </xdr:txBody>
    </xdr:sp>
    <xdr:clientData fPrintsWithSheet="0"/>
  </xdr:twoCellAnchor>
  <xdr:twoCellAnchor editAs="oneCell">
    <xdr:from>
      <xdr:col>25</xdr:col>
      <xdr:colOff>122463</xdr:colOff>
      <xdr:row>34</xdr:row>
      <xdr:rowOff>167367</xdr:rowOff>
    </xdr:from>
    <xdr:to>
      <xdr:col>25</xdr:col>
      <xdr:colOff>3605892</xdr:colOff>
      <xdr:row>37</xdr:row>
      <xdr:rowOff>54429</xdr:rowOff>
    </xdr:to>
    <xdr:sp macro="" textlink="">
      <xdr:nvSpPr>
        <xdr:cNvPr id="14" name="กล่องข้อความ 13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 txBox="1">
          <a:spLocks noChangeAspect="1"/>
        </xdr:cNvSpPr>
      </xdr:nvSpPr>
      <xdr:spPr>
        <a:xfrm>
          <a:off x="6245677" y="12685938"/>
          <a:ext cx="3483429" cy="7034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ถ้าเป็นส่วนลดจำนวนให้ใส่ลบด้วย (-2000) เป็นต้น , </a:t>
          </a:r>
        </a:p>
        <a:p>
          <a:r>
            <a:rPr lang="th-TH" sz="1100">
              <a:solidFill>
                <a:srgbClr val="FF0000"/>
              </a:solidFill>
            </a:rPr>
            <a:t>ถ้า </a:t>
          </a:r>
          <a:r>
            <a:rPr lang="en-US" sz="1100">
              <a:solidFill>
                <a:srgbClr val="FF0000"/>
              </a:solidFill>
            </a:rPr>
            <a:t>vat 7% </a:t>
          </a:r>
          <a:r>
            <a:rPr lang="th-TH" sz="1100">
              <a:solidFill>
                <a:srgbClr val="FF0000"/>
              </a:solidFill>
            </a:rPr>
            <a:t>ให้แจ้งลูกค้าว่าต้องมีเพิ่มมูลค่าเพิ่ม 3%</a:t>
          </a:r>
        </a:p>
        <a:p>
          <a:r>
            <a:rPr lang="th-TH" sz="1100">
              <a:solidFill>
                <a:srgbClr val="FF0000"/>
              </a:solidFill>
            </a:rPr>
            <a:t>โดยใส่ในรายการเป็นค่าดำเนินการข้อสุดท้ายก่อนรวมราคา</a:t>
          </a:r>
          <a:endParaRPr lang="en-US" sz="1100">
            <a:solidFill>
              <a:srgbClr val="FF0000"/>
            </a:solidFill>
          </a:endParaRPr>
        </a:p>
      </xdr:txBody>
    </xdr:sp>
    <xdr:clientData fPrintsWithSheet="0"/>
  </xdr:twoCellAnchor>
  <xdr:twoCellAnchor editAs="oneCell">
    <xdr:from>
      <xdr:col>25</xdr:col>
      <xdr:colOff>40822</xdr:colOff>
      <xdr:row>38</xdr:row>
      <xdr:rowOff>353786</xdr:rowOff>
    </xdr:from>
    <xdr:to>
      <xdr:col>25</xdr:col>
      <xdr:colOff>3150055</xdr:colOff>
      <xdr:row>38</xdr:row>
      <xdr:rowOff>2081893</xdr:rowOff>
    </xdr:to>
    <xdr:sp macro="" textlink="">
      <xdr:nvSpPr>
        <xdr:cNvPr id="15" name="กล่องข้อความ 14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 txBox="1">
          <a:spLocks noChangeAspect="1"/>
        </xdr:cNvSpPr>
      </xdr:nvSpPr>
      <xdr:spPr>
        <a:xfrm>
          <a:off x="6164036" y="14056179"/>
          <a:ext cx="3109233" cy="17281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100">
            <a:solidFill>
              <a:srgbClr val="FF0000"/>
            </a:solidFill>
          </a:endParaRPr>
        </a:p>
        <a:p>
          <a:r>
            <a:rPr lang="th-TH" sz="1100">
              <a:solidFill>
                <a:srgbClr val="FF0000"/>
              </a:solidFill>
            </a:rPr>
            <a:t>.- ระบบจากุซซี่ไม่เกิน 5 หัวนวด แต่ละหัวห่างกัน 1</a:t>
          </a:r>
          <a:r>
            <a:rPr lang="en-US" sz="1100">
              <a:solidFill>
                <a:srgbClr val="FF0000"/>
              </a:solidFill>
            </a:rPr>
            <a:t>m</a:t>
          </a:r>
        </a:p>
        <a:p>
          <a:r>
            <a:rPr lang="en-US" sz="1100">
              <a:solidFill>
                <a:srgbClr val="FF0000"/>
              </a:solidFill>
            </a:rPr>
            <a:t>- </a:t>
          </a:r>
          <a:r>
            <a:rPr lang="th-TH" sz="1100">
              <a:solidFill>
                <a:srgbClr val="FF0000"/>
              </a:solidFill>
            </a:rPr>
            <a:t>หากหัวนวดเพิ่ม ราคาต้องเพิ่มขึ้น ให้บริษัท คำนวณ </a:t>
          </a:r>
        </a:p>
        <a:p>
          <a:r>
            <a:rPr lang="th-TH" sz="1100">
              <a:solidFill>
                <a:srgbClr val="FF0000"/>
              </a:solidFill>
            </a:rPr>
            <a:t>- ม่านน้ำ 1 แพ นับเป็น 1 หัวนวด</a:t>
          </a:r>
        </a:p>
        <a:p>
          <a:r>
            <a:rPr lang="th-TH" sz="1100">
              <a:solidFill>
                <a:srgbClr val="FF0000"/>
              </a:solidFill>
            </a:rPr>
            <a:t>- ไฟ </a:t>
          </a:r>
          <a:r>
            <a:rPr lang="en-US" sz="1100">
              <a:solidFill>
                <a:srgbClr val="FF0000"/>
              </a:solidFill>
            </a:rPr>
            <a:t>LED </a:t>
          </a:r>
          <a:r>
            <a:rPr lang="th-TH" sz="1100">
              <a:solidFill>
                <a:srgbClr val="FF0000"/>
              </a:solidFill>
            </a:rPr>
            <a:t>จะตั้งห่างกัน 2 เมตร กินไฟ 9-12</a:t>
          </a:r>
          <a:r>
            <a:rPr lang="en-US" sz="1100">
              <a:solidFill>
                <a:srgbClr val="FF0000"/>
              </a:solidFill>
            </a:rPr>
            <a:t>W </a:t>
          </a:r>
          <a:r>
            <a:rPr lang="th-TH" sz="1100">
              <a:solidFill>
                <a:srgbClr val="FF0000"/>
              </a:solidFill>
            </a:rPr>
            <a:t>ความสว่างประมาณ 100</a:t>
          </a:r>
          <a:r>
            <a:rPr lang="en-US" sz="1100">
              <a:solidFill>
                <a:srgbClr val="FF0000"/>
              </a:solidFill>
            </a:rPr>
            <a:t>W+ 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4.xml"/><Relationship Id="rId4" Type="http://schemas.openxmlformats.org/officeDocument/2006/relationships/ctrlProp" Target="../ctrlProps/ctrlProp3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7.xml"/><Relationship Id="rId5" Type="http://schemas.openxmlformats.org/officeDocument/2006/relationships/ctrlProp" Target="../ctrlProps/ctrlProp36.xml"/><Relationship Id="rId4" Type="http://schemas.openxmlformats.org/officeDocument/2006/relationships/ctrlProp" Target="../ctrlProps/ctrlProp3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T72"/>
  <sheetViews>
    <sheetView zoomScale="130" zoomScaleNormal="130" workbookViewId="0">
      <pane ySplit="2" topLeftCell="A11" activePane="bottomLeft" state="frozen"/>
      <selection pane="bottomLeft" activeCell="D84" sqref="D84"/>
    </sheetView>
  </sheetViews>
  <sheetFormatPr defaultRowHeight="14.4"/>
  <cols>
    <col min="1" max="1" width="14.21875" customWidth="1"/>
    <col min="2" max="2" width="5.109375" style="41" customWidth="1"/>
    <col min="3" max="3" width="6.6640625" style="41" customWidth="1"/>
    <col min="4" max="4" width="33.109375" customWidth="1"/>
    <col min="5" max="5" width="7.33203125" customWidth="1"/>
    <col min="6" max="6" width="6.6640625" customWidth="1"/>
    <col min="7" max="7" width="7.33203125" customWidth="1"/>
    <col min="8" max="8" width="6.6640625" customWidth="1"/>
    <col min="9" max="9" width="7.33203125" customWidth="1"/>
    <col min="10" max="10" width="6.6640625" customWidth="1"/>
    <col min="11" max="11" width="6.109375" customWidth="1"/>
    <col min="12" max="13" width="4.6640625" customWidth="1"/>
    <col min="14" max="15" width="8.77734375" customWidth="1"/>
    <col min="16" max="16" width="14.109375" bestFit="1" customWidth="1"/>
    <col min="17" max="17" width="6.77734375" style="137" customWidth="1"/>
    <col min="18" max="19" width="4.6640625" customWidth="1"/>
  </cols>
  <sheetData>
    <row r="1" spans="1:20" ht="3.75" customHeight="1"/>
    <row r="2" spans="1:20" ht="23.4">
      <c r="D2" s="113"/>
      <c r="F2" s="64">
        <v>1</v>
      </c>
      <c r="G2" s="181" t="s">
        <v>121</v>
      </c>
      <c r="H2" s="181"/>
      <c r="I2" s="182" t="s">
        <v>122</v>
      </c>
      <c r="J2" s="182"/>
      <c r="K2" s="178" t="s">
        <v>123</v>
      </c>
      <c r="L2" s="178"/>
      <c r="N2" s="41"/>
      <c r="O2" s="41"/>
      <c r="P2" s="41"/>
    </row>
    <row r="3" spans="1:20">
      <c r="B3" s="184" t="s">
        <v>108</v>
      </c>
      <c r="C3" s="184"/>
      <c r="D3" t="b">
        <v>1</v>
      </c>
    </row>
    <row r="4" spans="1:20" s="41" customFormat="1" ht="21.75" customHeight="1">
      <c r="A4" s="65" t="s">
        <v>69</v>
      </c>
      <c r="B4" s="185"/>
      <c r="C4" s="185"/>
      <c r="D4" s="176" t="s">
        <v>191</v>
      </c>
      <c r="E4" s="176"/>
      <c r="F4" s="176"/>
      <c r="G4" s="176"/>
      <c r="H4" s="176"/>
      <c r="I4" s="176"/>
      <c r="J4" s="176"/>
      <c r="K4" s="176"/>
      <c r="L4" s="176"/>
      <c r="N4" s="41" t="s">
        <v>149</v>
      </c>
      <c r="P4" s="41" t="s">
        <v>156</v>
      </c>
      <c r="Q4" s="137" t="b">
        <v>1</v>
      </c>
    </row>
    <row r="5" spans="1:20" s="41" customFormat="1" ht="21.75" customHeight="1">
      <c r="A5" s="65" t="s">
        <v>3</v>
      </c>
      <c r="B5" s="185"/>
      <c r="C5" s="185"/>
      <c r="D5" s="179" t="s">
        <v>191</v>
      </c>
      <c r="E5" s="179"/>
      <c r="F5" s="179"/>
      <c r="G5" s="179"/>
      <c r="H5" s="179"/>
      <c r="I5" s="179"/>
      <c r="J5" s="179"/>
      <c r="K5" s="179"/>
      <c r="L5" s="179"/>
      <c r="N5" s="41" t="s">
        <v>150</v>
      </c>
      <c r="P5" s="41" t="s">
        <v>157</v>
      </c>
      <c r="Q5" s="137" t="b">
        <v>1</v>
      </c>
    </row>
    <row r="6" spans="1:20" s="41" customFormat="1" ht="21.75" customHeight="1">
      <c r="A6" s="65" t="s">
        <v>6</v>
      </c>
      <c r="B6" s="175" t="s">
        <v>109</v>
      </c>
      <c r="C6" s="175"/>
      <c r="D6" s="183" t="s">
        <v>192</v>
      </c>
      <c r="E6" s="183"/>
      <c r="F6" s="183"/>
      <c r="G6" s="183"/>
      <c r="H6" s="183"/>
      <c r="I6" s="183"/>
      <c r="J6" s="183"/>
      <c r="K6" s="183"/>
      <c r="L6" s="183"/>
      <c r="N6" s="160" t="s">
        <v>163</v>
      </c>
      <c r="P6" s="41" t="s">
        <v>158</v>
      </c>
      <c r="Q6" s="137"/>
    </row>
    <row r="7" spans="1:20" s="41" customFormat="1" ht="21.75" customHeight="1">
      <c r="A7" s="65" t="s">
        <v>87</v>
      </c>
      <c r="B7" s="175"/>
      <c r="C7" s="175"/>
      <c r="D7" s="176" t="s">
        <v>148</v>
      </c>
      <c r="E7" s="176"/>
      <c r="F7" s="176"/>
      <c r="G7" s="176"/>
      <c r="H7" s="176"/>
      <c r="I7" s="176"/>
      <c r="J7" s="176"/>
      <c r="K7" s="176"/>
      <c r="L7" s="176"/>
      <c r="P7" s="41" t="s">
        <v>159</v>
      </c>
      <c r="Q7" s="137"/>
    </row>
    <row r="8" spans="1:20" s="41" customFormat="1" ht="21.75" customHeight="1">
      <c r="A8" s="65" t="s">
        <v>4</v>
      </c>
      <c r="B8" s="175" t="s">
        <v>110</v>
      </c>
      <c r="C8" s="175"/>
      <c r="D8" s="174" t="s">
        <v>189</v>
      </c>
      <c r="K8" s="41" t="b">
        <v>1</v>
      </c>
      <c r="P8" s="41" t="s">
        <v>160</v>
      </c>
      <c r="Q8" s="137"/>
    </row>
    <row r="9" spans="1:20" s="41" customFormat="1" ht="25.5" customHeight="1">
      <c r="A9" s="65" t="s">
        <v>70</v>
      </c>
      <c r="B9" s="175"/>
      <c r="C9" s="175"/>
      <c r="D9" s="136" t="s">
        <v>187</v>
      </c>
      <c r="K9" s="41">
        <v>2</v>
      </c>
      <c r="P9" s="41" t="s">
        <v>161</v>
      </c>
      <c r="Q9" s="137"/>
    </row>
    <row r="10" spans="1:20" s="41" customFormat="1" ht="21.75" customHeight="1">
      <c r="A10" s="65" t="s">
        <v>106</v>
      </c>
      <c r="B10" s="175" t="s">
        <v>109</v>
      </c>
      <c r="C10" s="175"/>
      <c r="D10" s="136" t="s">
        <v>188</v>
      </c>
      <c r="K10" s="41">
        <v>2</v>
      </c>
      <c r="Q10" s="137"/>
    </row>
    <row r="11" spans="1:20" s="41" customFormat="1" ht="21.75" customHeight="1">
      <c r="A11" s="66" t="s">
        <v>107</v>
      </c>
      <c r="B11" s="175" t="s">
        <v>111</v>
      </c>
      <c r="C11" s="175"/>
      <c r="D11" s="104" t="s">
        <v>190</v>
      </c>
      <c r="Q11" s="137"/>
    </row>
    <row r="12" spans="1:20" s="41" customFormat="1" ht="29.25" customHeight="1">
      <c r="A12" s="66" t="s">
        <v>71</v>
      </c>
      <c r="B12" s="180" t="s">
        <v>112</v>
      </c>
      <c r="C12" s="180"/>
      <c r="D12" s="103" t="s">
        <v>191</v>
      </c>
      <c r="Q12" s="137"/>
    </row>
    <row r="13" spans="1:20" s="41" customFormat="1" ht="18.75" customHeight="1">
      <c r="A13" s="74"/>
      <c r="B13" s="45"/>
      <c r="C13" s="45"/>
      <c r="D13" s="75"/>
      <c r="E13" s="75"/>
      <c r="F13" s="76"/>
      <c r="G13" s="77"/>
      <c r="H13" s="77"/>
      <c r="I13" s="77"/>
      <c r="J13" s="77"/>
      <c r="K13" s="77"/>
      <c r="L13" s="77"/>
      <c r="Q13" s="137"/>
    </row>
    <row r="14" spans="1:20" s="41" customFormat="1" ht="25.05" customHeight="1">
      <c r="A14" s="74"/>
      <c r="B14" s="45"/>
      <c r="C14" s="45"/>
      <c r="D14" s="100" t="s">
        <v>92</v>
      </c>
      <c r="E14" s="80" t="b">
        <v>1</v>
      </c>
      <c r="F14" s="72" t="s">
        <v>90</v>
      </c>
      <c r="G14" s="81" t="b">
        <v>0</v>
      </c>
      <c r="H14" s="72" t="s">
        <v>91</v>
      </c>
      <c r="I14" s="81" t="b">
        <v>0</v>
      </c>
      <c r="J14" s="72" t="s">
        <v>89</v>
      </c>
      <c r="K14" s="77"/>
      <c r="L14" s="77"/>
      <c r="Q14" s="137"/>
    </row>
    <row r="15" spans="1:20" s="41" customFormat="1" ht="25.05" customHeight="1">
      <c r="A15" s="74"/>
      <c r="B15" s="45"/>
      <c r="C15" s="94"/>
      <c r="D15" s="100" t="s">
        <v>119</v>
      </c>
      <c r="E15" s="186" t="s">
        <v>98</v>
      </c>
      <c r="F15" s="187"/>
      <c r="G15" s="188" t="s">
        <v>99</v>
      </c>
      <c r="H15" s="189"/>
      <c r="I15" s="190" t="s">
        <v>100</v>
      </c>
      <c r="J15" s="191"/>
      <c r="K15" s="77"/>
      <c r="L15" s="77"/>
      <c r="Q15" s="137"/>
    </row>
    <row r="16" spans="1:20" ht="25.05" customHeight="1">
      <c r="A16" s="52"/>
      <c r="B16" s="78"/>
      <c r="C16" s="95"/>
      <c r="D16" s="53" t="s">
        <v>36</v>
      </c>
      <c r="E16" s="101">
        <v>4</v>
      </c>
      <c r="F16" s="84" t="s">
        <v>35</v>
      </c>
      <c r="G16" s="166">
        <v>0</v>
      </c>
      <c r="H16" s="167" t="s">
        <v>67</v>
      </c>
      <c r="I16" s="108">
        <v>0</v>
      </c>
      <c r="J16" s="109" t="s">
        <v>67</v>
      </c>
      <c r="T16" s="41"/>
    </row>
    <row r="17" spans="1:20" ht="25.05" customHeight="1">
      <c r="A17" s="51"/>
      <c r="B17" s="79"/>
      <c r="C17" s="96"/>
      <c r="D17" s="51" t="s">
        <v>93</v>
      </c>
      <c r="E17" s="101">
        <v>2</v>
      </c>
      <c r="F17" s="84" t="s">
        <v>35</v>
      </c>
      <c r="G17" s="166">
        <v>0</v>
      </c>
      <c r="H17" s="168" t="s">
        <v>67</v>
      </c>
      <c r="I17" s="108">
        <v>0</v>
      </c>
      <c r="J17" s="110" t="s">
        <v>67</v>
      </c>
      <c r="T17" s="41"/>
    </row>
    <row r="18" spans="1:20" ht="25.05" customHeight="1">
      <c r="A18" s="55"/>
      <c r="B18" s="79"/>
      <c r="C18" s="96"/>
      <c r="D18" s="51" t="s">
        <v>37</v>
      </c>
      <c r="E18" s="101">
        <v>1.2</v>
      </c>
      <c r="F18" s="84" t="s">
        <v>35</v>
      </c>
      <c r="G18" s="166">
        <v>0</v>
      </c>
      <c r="H18" s="168" t="s">
        <v>67</v>
      </c>
      <c r="I18" s="108">
        <v>0</v>
      </c>
      <c r="J18" s="110" t="s">
        <v>67</v>
      </c>
      <c r="L18" s="63" t="s">
        <v>68</v>
      </c>
      <c r="T18" s="41"/>
    </row>
    <row r="19" spans="1:20" s="41" customFormat="1" ht="25.05" customHeight="1">
      <c r="A19" s="48"/>
      <c r="B19" s="49"/>
      <c r="C19" s="97"/>
      <c r="D19" s="49" t="s">
        <v>85</v>
      </c>
      <c r="E19" s="101">
        <v>0.4</v>
      </c>
      <c r="F19" s="84" t="s">
        <v>35</v>
      </c>
      <c r="G19" s="166">
        <v>0</v>
      </c>
      <c r="H19" s="169" t="s">
        <v>67</v>
      </c>
      <c r="I19" s="108">
        <v>0</v>
      </c>
      <c r="J19" s="111" t="s">
        <v>67</v>
      </c>
      <c r="L19" s="63" t="s">
        <v>86</v>
      </c>
      <c r="Q19" s="137"/>
    </row>
    <row r="20" spans="1:20" s="41" customFormat="1" ht="25.05" customHeight="1">
      <c r="A20" s="51"/>
      <c r="B20" s="51"/>
      <c r="C20" s="83"/>
      <c r="D20" s="83" t="s">
        <v>95</v>
      </c>
      <c r="E20" s="98">
        <f>IF(E15="สี่เหลี่ยม",E16*E17,IF(E15="วงกลม",3.14*(E17/2)*(E17/2),IF(E15="ครึ่งวงกลม",(3.14*(E17/2)*(E17/2))/2,"ติดต่อ")))</f>
        <v>8</v>
      </c>
      <c r="F20" s="105"/>
      <c r="G20" s="170">
        <f>IF(G15="สี่เหลี่ยม",G16*G17,IF(G15="วงกลม",3.14*(G17/2)*(G17/2),IF(G15="ครึ่งวงกลม",(3.14*(G17/2)*(G17/2))/2,"ติดต่อ")))</f>
        <v>0</v>
      </c>
      <c r="H20" s="171"/>
      <c r="I20" s="155">
        <f>IF(I15="สี่เหลี่ยม",I16*I17,IF(I15="วงกลม",3.14*(I17/2)*(I17/2),IF(I15="ครึ่งวงกลม",(3.14*(I17/2)*(I17/2))/2,"ติดต่อ")))</f>
        <v>0</v>
      </c>
      <c r="J20" s="156"/>
      <c r="L20" s="63">
        <f>IF((E20+G20+I20)&lt;8,2000,0)</f>
        <v>0</v>
      </c>
      <c r="M20" s="63" t="s">
        <v>114</v>
      </c>
      <c r="Q20" s="137"/>
    </row>
    <row r="21" spans="1:20" s="41" customFormat="1" ht="25.05" customHeight="1">
      <c r="A21" s="51"/>
      <c r="B21" s="51"/>
      <c r="C21" s="83"/>
      <c r="D21" s="83" t="s">
        <v>115</v>
      </c>
      <c r="E21" s="98">
        <f>IF(E15="ครึ่งวงกลม",((2*3.14*(E17/2)/2)+E17),
IF(E15="วงกลม",2*3.14*(E17/2),
IF(E15="สี่เหลี่ยม",2*(E16+E17),"0")))</f>
        <v>12</v>
      </c>
      <c r="F21" s="105"/>
      <c r="G21" s="170">
        <f>IF(G15="ครึ่งวงกลม",((2*3.14*(G17/2)/2)+G17),
IF(G15="วงกลม",2*3.14*(G17/2),
IF(G15="สี่เหลี่ยม",2*(G16+G17),"0")))</f>
        <v>0</v>
      </c>
      <c r="H21" s="171"/>
      <c r="I21" s="155">
        <f>IF(I15="ครึ่งวงกลม",((2*3.14*(I17/2)/2)+I17),
IF(I15="วงกลม",2*3.14*(I17/2),
IF(I15="สี่เหลี่ยม",2*(I16+I17),"0")))</f>
        <v>0</v>
      </c>
      <c r="J21" s="156"/>
      <c r="L21" s="63">
        <f>(E21*E18)+(G21*G18)+(I21*I18)</f>
        <v>14.399999999999999</v>
      </c>
      <c r="M21" s="63" t="s">
        <v>118</v>
      </c>
      <c r="Q21" s="137"/>
    </row>
    <row r="22" spans="1:20" s="41" customFormat="1" ht="25.05" customHeight="1">
      <c r="A22" s="51"/>
      <c r="B22" s="51"/>
      <c r="C22" s="83"/>
      <c r="D22" s="83" t="s">
        <v>113</v>
      </c>
      <c r="E22" s="121" t="str">
        <f>IF(E18&lt;=1,"10000",IF(E18&lt;=1.1,"10500",IF(E18&lt;=1.2,"11000",IF(E18&lt;=1.3,"11500",IF(E18&lt;=1.4,"12000",IF(E18&lt;=1.5,"12500",IF(E18&lt;=1.6,"13000","0")))))))</f>
        <v>11000</v>
      </c>
      <c r="F22" s="105"/>
      <c r="G22" s="170">
        <f>IF(G14=TRUE,IF(G18&lt;=1,"10000",IF(G18&lt;=1.2,"11000",IF(G18&lt;=1.4,"12000",IF(G18&lt;=1.6,"13000","0")))),0)</f>
        <v>0</v>
      </c>
      <c r="H22" s="171"/>
      <c r="I22" s="155">
        <f>IF(I14=TRUE,IF(I18&lt;=1,"10000",IF(I18&lt;=1.2,"11000",IF(I18&lt;=1.4,"12000",IF(I18&lt;=1.6,"13000","0")))),0)</f>
        <v>0</v>
      </c>
      <c r="J22" s="156"/>
      <c r="L22" s="63"/>
      <c r="Q22" s="137"/>
    </row>
    <row r="23" spans="1:20" s="93" customFormat="1" ht="25.05" customHeight="1">
      <c r="A23" s="83"/>
      <c r="B23" s="83"/>
      <c r="C23" s="83"/>
      <c r="D23" s="83" t="s">
        <v>116</v>
      </c>
      <c r="E23" s="99"/>
      <c r="F23" s="105"/>
      <c r="G23" s="172">
        <v>4</v>
      </c>
      <c r="H23" s="173" t="s">
        <v>67</v>
      </c>
      <c r="I23" s="157">
        <f>IF(I14=TRUE,"ตัวเลข",0)</f>
        <v>0</v>
      </c>
      <c r="J23" s="158" t="s">
        <v>67</v>
      </c>
      <c r="L23" s="41"/>
      <c r="M23" s="41"/>
      <c r="N23" s="41"/>
      <c r="O23" s="41"/>
      <c r="P23" s="41"/>
      <c r="Q23" s="137"/>
      <c r="R23" s="41"/>
      <c r="S23" s="41"/>
    </row>
    <row r="24" spans="1:20" s="93" customFormat="1" ht="25.05" customHeight="1">
      <c r="A24" s="83"/>
      <c r="B24" s="83"/>
      <c r="C24" s="83"/>
      <c r="D24" s="83" t="s">
        <v>117</v>
      </c>
      <c r="E24" s="99"/>
      <c r="F24" s="105"/>
      <c r="G24" s="172">
        <v>0.8</v>
      </c>
      <c r="H24" s="173" t="s">
        <v>67</v>
      </c>
      <c r="I24" s="157">
        <f>IF(I14=TRUE,IF(VALUE(G19)&lt;VALUE(I19),VALUE(G19),VALUE(I19)),0)</f>
        <v>0</v>
      </c>
      <c r="J24" s="158" t="s">
        <v>67</v>
      </c>
      <c r="L24" s="41"/>
      <c r="M24" s="41"/>
      <c r="N24" s="41"/>
      <c r="O24" s="41"/>
      <c r="P24" s="41"/>
      <c r="Q24" s="137"/>
      <c r="R24" s="41"/>
      <c r="S24" s="41"/>
    </row>
    <row r="25" spans="1:20" s="93" customFormat="1" ht="25.05" customHeight="1">
      <c r="A25" s="83"/>
      <c r="B25" s="83"/>
      <c r="C25" s="83"/>
      <c r="D25" s="83"/>
      <c r="E25" s="105"/>
      <c r="F25" s="105"/>
      <c r="G25" s="106"/>
      <c r="H25" s="107"/>
      <c r="I25" s="106"/>
      <c r="J25" s="107"/>
      <c r="M25" s="41"/>
      <c r="N25" s="41"/>
      <c r="O25" s="41"/>
      <c r="P25" s="41"/>
      <c r="Q25" s="137"/>
      <c r="R25" s="41"/>
      <c r="S25" s="41"/>
    </row>
    <row r="26" spans="1:20" s="41" customFormat="1" ht="19.95" customHeight="1">
      <c r="A26" s="141" t="str">
        <f>IF(F2=2,"ระบบโอเวอร์โฟลว์","สำหรับโอเวอร์โฟล")</f>
        <v>สำหรับโอเวอร์โฟล</v>
      </c>
      <c r="B26" s="134"/>
      <c r="C26" s="134"/>
      <c r="D26" s="134" t="s">
        <v>151</v>
      </c>
      <c r="E26" s="134">
        <v>1</v>
      </c>
      <c r="F26" s="142" t="s">
        <v>35</v>
      </c>
      <c r="H26" s="82"/>
      <c r="L26" s="102" t="s">
        <v>80</v>
      </c>
      <c r="Q26" s="137"/>
    </row>
    <row r="27" spans="1:20" s="41" customFormat="1" ht="19.95" customHeight="1">
      <c r="A27" s="143"/>
      <c r="B27" s="135"/>
      <c r="C27" s="135"/>
      <c r="D27" s="162" t="s">
        <v>152</v>
      </c>
      <c r="E27" s="135">
        <v>2</v>
      </c>
      <c r="F27" s="142" t="s">
        <v>35</v>
      </c>
      <c r="H27" s="82"/>
      <c r="L27" s="102" t="s">
        <v>81</v>
      </c>
      <c r="Q27" s="137"/>
    </row>
    <row r="28" spans="1:20" s="41" customFormat="1" ht="19.95" customHeight="1">
      <c r="A28" s="143"/>
      <c r="B28" s="135"/>
      <c r="C28" s="135"/>
      <c r="D28" s="162" t="s">
        <v>153</v>
      </c>
      <c r="E28" s="135">
        <v>1</v>
      </c>
      <c r="F28" s="142" t="s">
        <v>35</v>
      </c>
      <c r="H28" s="82"/>
      <c r="L28" s="102" t="s">
        <v>82</v>
      </c>
      <c r="Q28" s="137"/>
    </row>
    <row r="29" spans="1:20" s="41" customFormat="1" ht="19.95" customHeight="1">
      <c r="A29" s="143"/>
      <c r="B29" s="135"/>
      <c r="C29" s="135"/>
      <c r="D29" s="161" t="s">
        <v>154</v>
      </c>
      <c r="E29" s="135">
        <v>5</v>
      </c>
      <c r="F29" s="142" t="s">
        <v>35</v>
      </c>
      <c r="H29" s="82"/>
      <c r="L29" s="102" t="s">
        <v>83</v>
      </c>
      <c r="Q29" s="137"/>
    </row>
    <row r="30" spans="1:20" s="41" customFormat="1" ht="19.95" customHeight="1">
      <c r="A30" s="144"/>
      <c r="B30" s="148" t="b">
        <v>0</v>
      </c>
      <c r="C30" s="146" t="str">
        <f>IF(B30=TRUE,"เพิ่ม","ไม่เพิ่ม")</f>
        <v>ไม่เพิ่ม</v>
      </c>
      <c r="D30" s="163" t="s">
        <v>155</v>
      </c>
      <c r="E30" s="145">
        <f>E29</f>
        <v>5</v>
      </c>
      <c r="F30" s="142" t="s">
        <v>35</v>
      </c>
      <c r="H30" s="82"/>
      <c r="L30" s="102" t="s">
        <v>84</v>
      </c>
      <c r="Q30" s="137"/>
    </row>
    <row r="31" spans="1:20" s="41" customFormat="1" ht="19.95" customHeight="1">
      <c r="A31" s="135"/>
      <c r="B31" s="153"/>
      <c r="C31" s="149"/>
      <c r="D31" s="161" t="s">
        <v>186</v>
      </c>
      <c r="E31" s="135"/>
      <c r="F31" s="142" t="s">
        <v>35</v>
      </c>
      <c r="H31" s="82"/>
      <c r="L31" s="102"/>
      <c r="Q31" s="137"/>
    </row>
    <row r="32" spans="1:20" s="41" customFormat="1" ht="25.05" customHeight="1">
      <c r="A32" s="135"/>
      <c r="B32" s="153"/>
      <c r="C32" s="149"/>
      <c r="D32" s="135"/>
      <c r="E32" s="147"/>
      <c r="F32" s="142"/>
      <c r="H32" s="82"/>
      <c r="L32" s="102"/>
      <c r="Q32" s="137"/>
    </row>
    <row r="33" spans="1:17" s="93" customFormat="1" ht="25.05" customHeight="1">
      <c r="A33" s="150"/>
      <c r="B33" s="150"/>
      <c r="C33" s="150"/>
      <c r="D33" s="150"/>
      <c r="E33" s="150"/>
      <c r="F33" s="150"/>
      <c r="L33" s="151"/>
      <c r="Q33" s="152"/>
    </row>
    <row r="34" spans="1:17" ht="25.05" customHeight="1">
      <c r="A34" s="52" t="s">
        <v>72</v>
      </c>
      <c r="B34" s="53"/>
      <c r="C34" s="53"/>
      <c r="D34" s="177" t="s">
        <v>172</v>
      </c>
      <c r="E34" s="177"/>
      <c r="F34" s="177"/>
    </row>
    <row r="35" spans="1:17" ht="25.05" customHeight="1">
      <c r="A35" s="55" t="s">
        <v>73</v>
      </c>
      <c r="B35" s="51"/>
      <c r="C35" s="51"/>
      <c r="D35" s="67" t="s">
        <v>60</v>
      </c>
    </row>
    <row r="36" spans="1:17" ht="25.05" customHeight="1">
      <c r="A36" s="48" t="s">
        <v>74</v>
      </c>
      <c r="B36" s="49"/>
      <c r="C36" s="49"/>
      <c r="D36" s="68" t="s">
        <v>65</v>
      </c>
    </row>
    <row r="37" spans="1:17" s="93" customFormat="1" ht="25.05" customHeight="1">
      <c r="A37" s="83"/>
      <c r="B37" s="83"/>
      <c r="C37" s="83"/>
      <c r="D37" s="83"/>
      <c r="Q37" s="152"/>
    </row>
    <row r="38" spans="1:17" s="93" customFormat="1" ht="19.95" customHeight="1">
      <c r="A38" s="83"/>
      <c r="B38" s="83"/>
      <c r="C38" s="83" t="b">
        <v>1</v>
      </c>
      <c r="D38" s="154" t="s">
        <v>164</v>
      </c>
      <c r="E38" s="93">
        <v>0</v>
      </c>
      <c r="F38" s="93" t="s">
        <v>67</v>
      </c>
      <c r="Q38" s="152"/>
    </row>
    <row r="39" spans="1:17" s="93" customFormat="1" ht="19.95" customHeight="1">
      <c r="A39" s="83"/>
      <c r="B39" s="83"/>
      <c r="C39" s="83" t="b">
        <v>1</v>
      </c>
      <c r="D39" s="154" t="s">
        <v>165</v>
      </c>
      <c r="E39" s="93">
        <v>0</v>
      </c>
      <c r="F39" s="93" t="s">
        <v>67</v>
      </c>
      <c r="Q39" s="152"/>
    </row>
    <row r="40" spans="1:17" s="93" customFormat="1" ht="19.95" customHeight="1">
      <c r="A40" s="83"/>
      <c r="B40" s="83"/>
      <c r="C40" s="83" t="b">
        <v>1</v>
      </c>
      <c r="D40" s="154" t="s">
        <v>166</v>
      </c>
      <c r="E40" s="93">
        <v>0</v>
      </c>
      <c r="F40" s="93" t="s">
        <v>67</v>
      </c>
      <c r="Q40" s="152"/>
    </row>
    <row r="41" spans="1:17" s="93" customFormat="1" ht="19.95" customHeight="1">
      <c r="A41" s="83"/>
      <c r="B41" s="83"/>
      <c r="C41" s="83" t="b">
        <v>1</v>
      </c>
      <c r="D41" s="154" t="s">
        <v>167</v>
      </c>
      <c r="E41" s="93">
        <v>0</v>
      </c>
      <c r="F41" s="93" t="s">
        <v>67</v>
      </c>
      <c r="Q41" s="152"/>
    </row>
    <row r="42" spans="1:17" s="93" customFormat="1" ht="19.95" hidden="1" customHeight="1">
      <c r="A42" s="83"/>
      <c r="B42" s="83"/>
      <c r="C42" s="83" t="b">
        <v>0</v>
      </c>
      <c r="D42" s="154" t="s">
        <v>168</v>
      </c>
      <c r="E42" s="93">
        <v>0</v>
      </c>
      <c r="F42" s="93" t="s">
        <v>67</v>
      </c>
      <c r="Q42" s="152"/>
    </row>
    <row r="43" spans="1:17" s="93" customFormat="1" ht="19.95" hidden="1" customHeight="1">
      <c r="A43" s="83"/>
      <c r="B43" s="83"/>
      <c r="C43" s="83" t="b">
        <v>0</v>
      </c>
      <c r="D43" s="154" t="s">
        <v>169</v>
      </c>
      <c r="E43" s="93">
        <v>0</v>
      </c>
      <c r="F43" s="93" t="s">
        <v>67</v>
      </c>
      <c r="Q43" s="152"/>
    </row>
    <row r="44" spans="1:17" s="93" customFormat="1" ht="25.05" hidden="1" customHeight="1">
      <c r="A44" s="83"/>
      <c r="B44" s="83"/>
      <c r="C44" s="83" t="b">
        <v>0</v>
      </c>
      <c r="D44" s="154" t="s">
        <v>170</v>
      </c>
      <c r="E44" s="93">
        <v>0</v>
      </c>
      <c r="F44" s="93" t="s">
        <v>67</v>
      </c>
      <c r="Q44" s="152"/>
    </row>
    <row r="45" spans="1:17" s="93" customFormat="1" ht="25.05" hidden="1" customHeight="1">
      <c r="A45" s="83"/>
      <c r="B45" s="83"/>
      <c r="C45" s="83">
        <v>0</v>
      </c>
      <c r="D45" s="154" t="s">
        <v>171</v>
      </c>
      <c r="E45" s="93">
        <v>0</v>
      </c>
      <c r="F45" s="93" t="s">
        <v>67</v>
      </c>
      <c r="Q45" s="152"/>
    </row>
    <row r="46" spans="1:17" ht="25.05" customHeight="1"/>
    <row r="47" spans="1:17" ht="25.05" customHeight="1">
      <c r="A47" s="52" t="s">
        <v>75</v>
      </c>
      <c r="B47" s="69" t="b">
        <v>1</v>
      </c>
      <c r="C47" s="45" t="str">
        <f>IF(B47=TRUE,"มี","ไม่มี")</f>
        <v>มี</v>
      </c>
      <c r="D47" s="53" t="s">
        <v>76</v>
      </c>
      <c r="E47" s="45">
        <f>IF(C47="มี",1,0)</f>
        <v>1</v>
      </c>
      <c r="F47" s="54"/>
    </row>
    <row r="48" spans="1:17" ht="25.05" customHeight="1">
      <c r="A48" s="55"/>
      <c r="B48" s="70" t="b">
        <v>1</v>
      </c>
      <c r="C48" s="56" t="str">
        <f>IF(B48=TRUE,"มี","ไม่มี")</f>
        <v>มี</v>
      </c>
      <c r="D48" s="51" t="s">
        <v>77</v>
      </c>
      <c r="E48" s="56">
        <f>IF(C48="มี",1,0)</f>
        <v>1</v>
      </c>
      <c r="F48" s="57"/>
    </row>
    <row r="49" spans="1:6" ht="25.05" customHeight="1">
      <c r="A49" s="55"/>
      <c r="B49" s="70" t="b">
        <v>0</v>
      </c>
      <c r="C49" s="56" t="str">
        <f>IF(B49=TRUE,"มี","ไม่มี")</f>
        <v>ไม่มี</v>
      </c>
      <c r="D49" s="51" t="s">
        <v>78</v>
      </c>
      <c r="E49" s="56">
        <f>IF(C49="มี",1,0)</f>
        <v>0</v>
      </c>
      <c r="F49" s="57"/>
    </row>
    <row r="50" spans="1:6" ht="25.05" customHeight="1">
      <c r="A50" s="48"/>
      <c r="B50" s="49"/>
      <c r="C50" s="46"/>
      <c r="D50" s="49" t="s">
        <v>79</v>
      </c>
      <c r="E50" s="46">
        <f>SUM(E47:E49)</f>
        <v>2</v>
      </c>
      <c r="F50" s="50" t="s">
        <v>48</v>
      </c>
    </row>
    <row r="51" spans="1:6" ht="19.95" customHeight="1"/>
    <row r="52" spans="1:6" ht="19.95" customHeight="1"/>
    <row r="53" spans="1:6" ht="19.95" customHeight="1"/>
    <row r="54" spans="1:6" ht="19.95" customHeight="1"/>
    <row r="55" spans="1:6" ht="19.95" customHeight="1"/>
    <row r="56" spans="1:6" ht="19.95" customHeight="1"/>
    <row r="57" spans="1:6" ht="19.95" customHeight="1"/>
    <row r="58" spans="1:6" ht="19.95" customHeight="1"/>
    <row r="59" spans="1:6" ht="19.95" customHeight="1"/>
    <row r="60" spans="1:6" ht="19.95" customHeight="1"/>
    <row r="61" spans="1:6" ht="19.95" customHeight="1"/>
    <row r="62" spans="1:6" ht="19.95" customHeight="1"/>
    <row r="63" spans="1:6" ht="19.95" customHeight="1"/>
    <row r="64" spans="1:6" ht="19.95" customHeight="1"/>
    <row r="65" ht="19.95" customHeight="1"/>
    <row r="66" ht="19.95" customHeight="1"/>
    <row r="67" ht="19.95" customHeight="1"/>
    <row r="68" ht="19.95" customHeight="1"/>
    <row r="69" ht="19.95" customHeight="1"/>
    <row r="70" ht="19.95" customHeight="1"/>
    <row r="71" ht="19.95" customHeight="1"/>
    <row r="72" ht="18.75" customHeight="1"/>
  </sheetData>
  <sheetProtection selectLockedCells="1"/>
  <mergeCells count="21">
    <mergeCell ref="D34:F34"/>
    <mergeCell ref="K2:L2"/>
    <mergeCell ref="D4:L4"/>
    <mergeCell ref="D5:L5"/>
    <mergeCell ref="B12:C12"/>
    <mergeCell ref="B10:C10"/>
    <mergeCell ref="G2:H2"/>
    <mergeCell ref="I2:J2"/>
    <mergeCell ref="D6:L6"/>
    <mergeCell ref="B3:C3"/>
    <mergeCell ref="B4:C4"/>
    <mergeCell ref="B5:C5"/>
    <mergeCell ref="B6:C6"/>
    <mergeCell ref="E15:F15"/>
    <mergeCell ref="G15:H15"/>
    <mergeCell ref="I15:J15"/>
    <mergeCell ref="B7:C7"/>
    <mergeCell ref="D7:L7"/>
    <mergeCell ref="B11:C11"/>
    <mergeCell ref="B8:C8"/>
    <mergeCell ref="B9:C9"/>
  </mergeCells>
  <pageMargins left="0.7" right="0.7" top="0.75" bottom="0.75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2" r:id="rId4" name="Check Box 6">
              <controlPr defaultSize="0" autoFill="0" autoLine="0" autoPict="0">
                <anchor moveWithCells="1">
                  <from>
                    <xdr:col>1</xdr:col>
                    <xdr:colOff>45720</xdr:colOff>
                    <xdr:row>46</xdr:row>
                    <xdr:rowOff>45720</xdr:rowOff>
                  </from>
                  <to>
                    <xdr:col>1</xdr:col>
                    <xdr:colOff>312420</xdr:colOff>
                    <xdr:row>46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5" name="Check Box 7">
              <controlPr defaultSize="0" autoFill="0" autoLine="0" autoPict="0">
                <anchor>
                  <from>
                    <xdr:col>1</xdr:col>
                    <xdr:colOff>45720</xdr:colOff>
                    <xdr:row>47</xdr:row>
                    <xdr:rowOff>45720</xdr:rowOff>
                  </from>
                  <to>
                    <xdr:col>1</xdr:col>
                    <xdr:colOff>312420</xdr:colOff>
                    <xdr:row>47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6" name="Check Box 8">
              <controlPr defaultSize="0" autoFill="0" autoLine="0" autoPict="0">
                <anchor>
                  <from>
                    <xdr:col>1</xdr:col>
                    <xdr:colOff>30480</xdr:colOff>
                    <xdr:row>48</xdr:row>
                    <xdr:rowOff>15240</xdr:rowOff>
                  </from>
                  <to>
                    <xdr:col>1</xdr:col>
                    <xdr:colOff>297180</xdr:colOff>
                    <xdr:row>48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7" name="Check Box 11">
              <controlPr defaultSize="0" autoFill="0" autoLine="0" autoPict="0">
                <anchor>
                  <from>
                    <xdr:col>0</xdr:col>
                    <xdr:colOff>175260</xdr:colOff>
                    <xdr:row>30</xdr:row>
                    <xdr:rowOff>45720</xdr:rowOff>
                  </from>
                  <to>
                    <xdr:col>0</xdr:col>
                    <xdr:colOff>845820</xdr:colOff>
                    <xdr:row>31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8" name="Check Box 12">
              <controlPr defaultSize="0" autoFill="0" autoLine="0" autoPict="0" macro="[0]!check_P1" altText="บ่อส่วน 1">
                <anchor>
                  <from>
                    <xdr:col>4</xdr:col>
                    <xdr:colOff>76200</xdr:colOff>
                    <xdr:row>13</xdr:row>
                    <xdr:rowOff>0</xdr:rowOff>
                  </from>
                  <to>
                    <xdr:col>4</xdr:col>
                    <xdr:colOff>342900</xdr:colOff>
                    <xdr:row>13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9" name="Check Box 13">
              <controlPr defaultSize="0" autoFill="0" autoLine="0" autoPict="0" macro="[0]!check_P2">
                <anchor>
                  <from>
                    <xdr:col>6</xdr:col>
                    <xdr:colOff>83820</xdr:colOff>
                    <xdr:row>13</xdr:row>
                    <xdr:rowOff>38100</xdr:rowOff>
                  </from>
                  <to>
                    <xdr:col>6</xdr:col>
                    <xdr:colOff>350520</xdr:colOff>
                    <xdr:row>13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0" name="Check Box 14">
              <controlPr defaultSize="0" autoFill="0" autoLine="0" autoPict="0" macro="[0]!check_P3">
                <anchor>
                  <from>
                    <xdr:col>8</xdr:col>
                    <xdr:colOff>83820</xdr:colOff>
                    <xdr:row>13</xdr:row>
                    <xdr:rowOff>0</xdr:rowOff>
                  </from>
                  <to>
                    <xdr:col>8</xdr:col>
                    <xdr:colOff>350520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11" name="Quote date 33">
              <controlPr defaultSize="0" print="0" autoFill="0" autoLine="0" autoPict="0" macro="[0]!QuoteDate_คลิก">
                <anchor>
                  <from>
                    <xdr:col>4</xdr:col>
                    <xdr:colOff>114300</xdr:colOff>
                    <xdr:row>7</xdr:row>
                    <xdr:rowOff>38100</xdr:rowOff>
                  </from>
                  <to>
                    <xdr:col>5</xdr:col>
                    <xdr:colOff>480060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12" name="Opt_Tul">
              <controlPr defaultSize="0" autoFill="0" autoLine="0" autoPict="0" macro="[0]!Sell_Name">
                <anchor>
                  <from>
                    <xdr:col>4</xdr:col>
                    <xdr:colOff>533400</xdr:colOff>
                    <xdr:row>8</xdr:row>
                    <xdr:rowOff>22860</xdr:rowOff>
                  </from>
                  <to>
                    <xdr:col>6</xdr:col>
                    <xdr:colOff>106680</xdr:colOff>
                    <xdr:row>8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13" name="Opt_Bua">
              <controlPr defaultSize="0" autoFill="0" autoLine="0" autoPict="0" macro="[0]!Sell_Name">
                <anchor>
                  <from>
                    <xdr:col>6</xdr:col>
                    <xdr:colOff>0</xdr:colOff>
                    <xdr:row>8</xdr:row>
                    <xdr:rowOff>60960</xdr:rowOff>
                  </from>
                  <to>
                    <xdr:col>7</xdr:col>
                    <xdr:colOff>297180</xdr:colOff>
                    <xdr:row>8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0" r:id="rId14" name="Opt_Sale1">
              <controlPr defaultSize="0" autoFill="0" autoLine="0" autoPict="0" macro="[0]!Sell_Name">
                <anchor>
                  <from>
                    <xdr:col>7</xdr:col>
                    <xdr:colOff>7620</xdr:colOff>
                    <xdr:row>8</xdr:row>
                    <xdr:rowOff>60960</xdr:rowOff>
                  </from>
                  <to>
                    <xdr:col>8</xdr:col>
                    <xdr:colOff>83820</xdr:colOff>
                    <xdr:row>8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1" r:id="rId15" name="Group Box 55">
              <controlPr defaultSize="0" autoFill="0" autoPict="0" macro="[0]!Sell_Name">
                <anchor>
                  <from>
                    <xdr:col>4</xdr:col>
                    <xdr:colOff>121920</xdr:colOff>
                    <xdr:row>8</xdr:row>
                    <xdr:rowOff>38100</xdr:rowOff>
                  </from>
                  <to>
                    <xdr:col>8</xdr:col>
                    <xdr:colOff>365760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5" r:id="rId16" name="Chk_ChoosePool">
              <controlPr defaultSize="0" autoFill="0" autoLine="0" autoPict="0" macro="[0]!Chk_ChoosePool">
                <anchor>
                  <from>
                    <xdr:col>4</xdr:col>
                    <xdr:colOff>190500</xdr:colOff>
                    <xdr:row>9</xdr:row>
                    <xdr:rowOff>83820</xdr:rowOff>
                  </from>
                  <to>
                    <xdr:col>5</xdr:col>
                    <xdr:colOff>403860</xdr:colOff>
                    <xdr:row>10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6" r:id="rId17" name="Chk_Ranang">
              <controlPr defaultSize="0" autoFill="0" autoLine="0" autoPict="0" macro="[0]!Chk_Ranang">
                <anchor>
                  <from>
                    <xdr:col>4</xdr:col>
                    <xdr:colOff>190500</xdr:colOff>
                    <xdr:row>10</xdr:row>
                    <xdr:rowOff>45720</xdr:rowOff>
                  </from>
                  <to>
                    <xdr:col>6</xdr:col>
                    <xdr:colOff>60960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7" r:id="rId18" name="Chk_ShowerArea">
              <controlPr defaultSize="0" autoFill="0" autoLine="0" autoPict="0">
                <anchor>
                  <from>
                    <xdr:col>4</xdr:col>
                    <xdr:colOff>182880</xdr:colOff>
                    <xdr:row>11</xdr:row>
                    <xdr:rowOff>30480</xdr:rowOff>
                  </from>
                  <to>
                    <xdr:col>6</xdr:col>
                    <xdr:colOff>22860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8" r:id="rId19" name="Chk_Fountain">
              <controlPr defaultSize="0" autoFill="0" autoLine="0" autoPict="0">
                <anchor>
                  <from>
                    <xdr:col>5</xdr:col>
                    <xdr:colOff>403860</xdr:colOff>
                    <xdr:row>10</xdr:row>
                    <xdr:rowOff>45720</xdr:rowOff>
                  </from>
                  <to>
                    <xdr:col>7</xdr:col>
                    <xdr:colOff>30480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9" r:id="rId20" name="Chk_FishPond">
              <controlPr defaultSize="0" autoFill="0" autoLine="0" autoPict="0">
                <anchor>
                  <from>
                    <xdr:col>5</xdr:col>
                    <xdr:colOff>403860</xdr:colOff>
                    <xdr:row>11</xdr:row>
                    <xdr:rowOff>7620</xdr:rowOff>
                  </from>
                  <to>
                    <xdr:col>6</xdr:col>
                    <xdr:colOff>502920</xdr:colOff>
                    <xdr:row>11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0" r:id="rId21" name="Chk_Gazebo">
              <controlPr defaultSize="0" autoFill="0" autoLine="0" autoPict="0">
                <anchor>
                  <from>
                    <xdr:col>6</xdr:col>
                    <xdr:colOff>563880</xdr:colOff>
                    <xdr:row>10</xdr:row>
                    <xdr:rowOff>45720</xdr:rowOff>
                  </from>
                  <to>
                    <xdr:col>8</xdr:col>
                    <xdr:colOff>327660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1" r:id="rId22" name="Opt_Skimmer">
              <controlPr defaultSize="0" autoFill="0" autoLine="0" autoPict="0">
                <anchor>
                  <from>
                    <xdr:col>5</xdr:col>
                    <xdr:colOff>350520</xdr:colOff>
                    <xdr:row>9</xdr:row>
                    <xdr:rowOff>68580</xdr:rowOff>
                  </from>
                  <to>
                    <xdr:col>7</xdr:col>
                    <xdr:colOff>76200</xdr:colOff>
                    <xdr:row>10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2" r:id="rId23" name="Opt_Overflow">
              <controlPr defaultSize="0" autoFill="0" autoLine="0" autoPict="0">
                <anchor>
                  <from>
                    <xdr:col>7</xdr:col>
                    <xdr:colOff>22860</xdr:colOff>
                    <xdr:row>9</xdr:row>
                    <xdr:rowOff>68580</xdr:rowOff>
                  </from>
                  <to>
                    <xdr:col>8</xdr:col>
                    <xdr:colOff>327660</xdr:colOff>
                    <xdr:row>10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3" r:id="rId24" name="Opt_NoPool">
              <controlPr defaultSize="0" autoFill="0" autoLine="0" autoPict="0">
                <anchor>
                  <from>
                    <xdr:col>8</xdr:col>
                    <xdr:colOff>556260</xdr:colOff>
                    <xdr:row>9</xdr:row>
                    <xdr:rowOff>68580</xdr:rowOff>
                  </from>
                  <to>
                    <xdr:col>9</xdr:col>
                    <xdr:colOff>502920</xdr:colOff>
                    <xdr:row>10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4" r:id="rId25" name="Group Box 68">
              <controlPr defaultSize="0" autoFill="0" autoPict="0">
                <anchor>
                  <from>
                    <xdr:col>4</xdr:col>
                    <xdr:colOff>137160</xdr:colOff>
                    <xdr:row>9</xdr:row>
                    <xdr:rowOff>22860</xdr:rowOff>
                  </from>
                  <to>
                    <xdr:col>10</xdr:col>
                    <xdr:colOff>0</xdr:colOff>
                    <xdr:row>11</xdr:row>
                    <xdr:rowOff>335280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2" r:id="rId26" name="Check Box 76">
              <controlPr defaultSize="0" print="0" autoFill="0" autoLine="0" autoPict="0" macro="[0]!WallOutsideLong">
                <anchor moveWithCells="1">
                  <from>
                    <xdr:col>2</xdr:col>
                    <xdr:colOff>68580</xdr:colOff>
                    <xdr:row>36</xdr:row>
                    <xdr:rowOff>76200</xdr:rowOff>
                  </from>
                  <to>
                    <xdr:col>3</xdr:col>
                    <xdr:colOff>182880</xdr:colOff>
                    <xdr:row>36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3" r:id="rId27" name="Check Box 77">
              <controlPr defaultSize="0" print="0" autoFill="0" autoLine="0" autoPict="0" macro="[0]!WallOutsideLong">
                <anchor moveWithCells="1">
                  <from>
                    <xdr:col>3</xdr:col>
                    <xdr:colOff>99060</xdr:colOff>
                    <xdr:row>36</xdr:row>
                    <xdr:rowOff>76200</xdr:rowOff>
                  </from>
                  <to>
                    <xdr:col>3</xdr:col>
                    <xdr:colOff>670560</xdr:colOff>
                    <xdr:row>36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4" r:id="rId28" name="Check Box 78">
              <controlPr defaultSize="0" print="0" autoFill="0" autoLine="0" autoPict="0" macro="[0]!WallOutsideLong">
                <anchor moveWithCells="1">
                  <from>
                    <xdr:col>3</xdr:col>
                    <xdr:colOff>586740</xdr:colOff>
                    <xdr:row>36</xdr:row>
                    <xdr:rowOff>68580</xdr:rowOff>
                  </from>
                  <to>
                    <xdr:col>3</xdr:col>
                    <xdr:colOff>1158240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5" r:id="rId29" name="Check Box 79">
              <controlPr defaultSize="0" print="0" autoFill="0" autoLine="0" autoPict="0" macro="[0]!WallOutsideLong">
                <anchor moveWithCells="1">
                  <from>
                    <xdr:col>3</xdr:col>
                    <xdr:colOff>1066800</xdr:colOff>
                    <xdr:row>36</xdr:row>
                    <xdr:rowOff>68580</xdr:rowOff>
                  </from>
                  <to>
                    <xdr:col>3</xdr:col>
                    <xdr:colOff>1638300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6" r:id="rId30" name="Check Box 80">
              <controlPr defaultSize="0" print="0" autoFill="0" autoLine="0" autoPict="0" macro="[0]!WallOutsideLong">
                <anchor moveWithCells="1">
                  <from>
                    <xdr:col>3</xdr:col>
                    <xdr:colOff>1577340</xdr:colOff>
                    <xdr:row>36</xdr:row>
                    <xdr:rowOff>68580</xdr:rowOff>
                  </from>
                  <to>
                    <xdr:col>3</xdr:col>
                    <xdr:colOff>2148840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7" r:id="rId31" name="Check Box 81">
              <controlPr defaultSize="0" print="0" autoFill="0" autoLine="0" autoPict="0" macro="[0]!WallOutsideLong">
                <anchor moveWithCells="1">
                  <from>
                    <xdr:col>3</xdr:col>
                    <xdr:colOff>2065020</xdr:colOff>
                    <xdr:row>36</xdr:row>
                    <xdr:rowOff>68580</xdr:rowOff>
                  </from>
                  <to>
                    <xdr:col>4</xdr:col>
                    <xdr:colOff>365760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8" r:id="rId32" name="Check Box 82">
              <controlPr defaultSize="0" print="0" autoFill="0" autoLine="0" autoPict="0" macro="[0]!WallOutsideLong">
                <anchor moveWithCells="1">
                  <from>
                    <xdr:col>4</xdr:col>
                    <xdr:colOff>274320</xdr:colOff>
                    <xdr:row>36</xdr:row>
                    <xdr:rowOff>53340</xdr:rowOff>
                  </from>
                  <to>
                    <xdr:col>5</xdr:col>
                    <xdr:colOff>342900</xdr:colOff>
                    <xdr:row>36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9" r:id="rId33" name="Check Box 83">
              <controlPr defaultSize="0" print="0" autoFill="0" autoLine="0" autoPict="0" macro="[0]!WallOutsideLong">
                <anchor moveWithCells="1">
                  <from>
                    <xdr:col>5</xdr:col>
                    <xdr:colOff>259080</xdr:colOff>
                    <xdr:row>36</xdr:row>
                    <xdr:rowOff>53340</xdr:rowOff>
                  </from>
                  <to>
                    <xdr:col>6</xdr:col>
                    <xdr:colOff>373380</xdr:colOff>
                    <xdr:row>36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1" r:id="rId34" name="Group Box 85">
              <controlPr defaultSize="0" print="0" autoFill="0" autoPict="0">
                <anchor moveWithCells="1">
                  <from>
                    <xdr:col>1</xdr:col>
                    <xdr:colOff>335280</xdr:colOff>
                    <xdr:row>36</xdr:row>
                    <xdr:rowOff>38100</xdr:rowOff>
                  </from>
                  <to>
                    <xdr:col>6</xdr:col>
                    <xdr:colOff>502920</xdr:colOff>
                    <xdr:row>36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3" r:id="rId35" name="Check Box 107">
              <controlPr defaultSize="0" autoFill="0" autoLine="0" autoPict="0">
                <anchor>
                  <from>
                    <xdr:col>0</xdr:col>
                    <xdr:colOff>144780</xdr:colOff>
                    <xdr:row>90</xdr:row>
                    <xdr:rowOff>7620</xdr:rowOff>
                  </from>
                  <to>
                    <xdr:col>0</xdr:col>
                    <xdr:colOff>922020</xdr:colOff>
                    <xdr:row>91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>
          <x14:formula1>
            <xm:f>database!$A$1:$A$5</xm:f>
          </x14:formula1>
          <xm:sqref>D34</xm:sqref>
        </x14:dataValidation>
        <x14:dataValidation type="list" allowBlank="1" showInputMessage="1" showErrorMessage="1">
          <x14:formula1>
            <xm:f>database!$G$1:$G$4</xm:f>
          </x14:formula1>
          <xm:sqref>E15 G15:J15</xm:sqref>
        </x14:dataValidation>
        <x14:dataValidation type="list" allowBlank="1" showInputMessage="1" showErrorMessage="1">
          <x14:formula1>
            <xm:f>database!$K$1:$K$12</xm:f>
          </x14:formula1>
          <xm:sqref>D32</xm:sqref>
        </x14:dataValidation>
        <x14:dataValidation type="list" allowBlank="1" showInputMessage="1" showErrorMessage="1">
          <x14:formula1>
            <xm:f>database!$C$1:$C$10</xm:f>
          </x14:formula1>
          <xm:sqref>D35</xm:sqref>
        </x14:dataValidation>
        <x14:dataValidation type="list" allowBlank="1" showInputMessage="1" showErrorMessage="1">
          <x14:formula1>
            <xm:f>database!$E$1:$E$10</xm:f>
          </x14:formula1>
          <xm:sqref>D36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00B050"/>
  </sheetPr>
  <dimension ref="A1:AD72"/>
  <sheetViews>
    <sheetView topLeftCell="A22" zoomScale="85" zoomScaleNormal="85" workbookViewId="0">
      <selection activeCell="A33" sqref="A33:XFD41"/>
    </sheetView>
  </sheetViews>
  <sheetFormatPr defaultRowHeight="14.4"/>
  <cols>
    <col min="1" max="3" width="2.33203125" customWidth="1"/>
    <col min="4" max="5" width="3.77734375" customWidth="1"/>
    <col min="6" max="6" width="10.21875" customWidth="1"/>
    <col min="7" max="7" width="5.109375" customWidth="1"/>
    <col min="8" max="8" width="4.33203125" customWidth="1"/>
    <col min="9" max="9" width="3.109375" customWidth="1"/>
    <col min="10" max="11" width="4.33203125" customWidth="1"/>
    <col min="12" max="12" width="3.109375" customWidth="1"/>
    <col min="13" max="14" width="4.33203125" customWidth="1"/>
    <col min="15" max="15" width="3.109375" customWidth="1"/>
    <col min="16" max="16" width="1.21875" customWidth="1"/>
    <col min="17" max="17" width="2.77734375" customWidth="1"/>
    <col min="18" max="18" width="3.77734375" customWidth="1"/>
    <col min="19" max="19" width="4.33203125" customWidth="1"/>
    <col min="20" max="21" width="3.77734375" customWidth="1"/>
    <col min="22" max="22" width="1.6640625" customWidth="1"/>
    <col min="23" max="25" width="3.77734375" customWidth="1"/>
    <col min="26" max="26" width="50.21875" customWidth="1"/>
  </cols>
  <sheetData>
    <row r="1" spans="1:26" ht="27.75" customHeight="1">
      <c r="A1" s="266"/>
      <c r="B1" s="266"/>
      <c r="C1" s="266"/>
      <c r="D1" s="266"/>
      <c r="E1" s="263" t="str">
        <f>CONCATENATE("ม่านน้ำ ดีไซน์  Maannam Design โดย ",Sheet1!D9)</f>
        <v>ม่านน้ำ ดีไซน์  Maannam Design โดย ชยานิษฐ์  โรจน์อัครนิธิ</v>
      </c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</row>
    <row r="2" spans="1:26" ht="33.75" customHeight="1">
      <c r="A2" s="266"/>
      <c r="B2" s="266"/>
      <c r="C2" s="266"/>
      <c r="D2" s="266"/>
      <c r="E2" s="264" t="str">
        <f>CONCATENATE("74/26 หมู่ที่ 5 ซอย ท่าอิฐ ถ.รัตนาธิเบศร์ ต.ท่าอิฐ อ.ปากเกร็ด จ.นนทบุรี 
โทร  ",Sheet1!D10,"  ","โทร/แฟกซ์ 02-1496091")</f>
        <v>74/26 หมู่ที่ 5 ซอย ท่าอิฐ ถ.รัตนาธิเบศร์ ต.ท่าอิฐ อ.ปากเกร็ด จ.นนทบุรี 
โทร  085-907-7518  โทร/แฟกซ์ 02-1496091</v>
      </c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</row>
    <row r="3" spans="1:26" ht="9" customHeight="1">
      <c r="A3" s="266"/>
      <c r="B3" s="266"/>
      <c r="C3" s="266"/>
      <c r="D3" s="266"/>
      <c r="Z3" s="41"/>
    </row>
    <row r="4" spans="1:26" ht="23.4">
      <c r="A4" s="267" t="s">
        <v>0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41"/>
    </row>
    <row r="5" spans="1:26" ht="18.75" customHeight="1">
      <c r="A5" s="192" t="s">
        <v>1</v>
      </c>
      <c r="B5" s="192"/>
      <c r="C5" s="192"/>
      <c r="D5" s="271" t="str">
        <f>CONCATENATE("คุณ ",Sheet1!D4)</f>
        <v>คุณ sas</v>
      </c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192" t="s">
        <v>2</v>
      </c>
      <c r="R5" s="192"/>
      <c r="S5" s="192"/>
      <c r="T5" s="192"/>
      <c r="U5" s="192"/>
      <c r="V5" s="272" t="str">
        <f>CONCATENATE(Sheet1!D11,"-",Sheet1!D12)</f>
        <v>asa-sas</v>
      </c>
      <c r="W5" s="272"/>
      <c r="X5" s="272"/>
      <c r="Y5" s="272"/>
      <c r="Z5" s="41"/>
    </row>
    <row r="6" spans="1:26" ht="18.75" customHeight="1">
      <c r="A6" s="273" t="s">
        <v>3</v>
      </c>
      <c r="B6" s="274"/>
      <c r="C6" s="275"/>
      <c r="D6" s="295" t="str">
        <f>Sheet1!D5</f>
        <v>sas</v>
      </c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7"/>
      <c r="Q6" s="279" t="s">
        <v>4</v>
      </c>
      <c r="R6" s="280"/>
      <c r="S6" s="281"/>
      <c r="T6" s="282" t="str">
        <f>Sheet1!D8</f>
        <v>โปรดเติม</v>
      </c>
      <c r="U6" s="283"/>
      <c r="V6" s="283"/>
      <c r="W6" s="283"/>
      <c r="X6" s="283"/>
      <c r="Y6" s="284"/>
      <c r="Z6" s="41"/>
    </row>
    <row r="7" spans="1:26" ht="18" customHeight="1">
      <c r="A7" s="276"/>
      <c r="B7" s="277"/>
      <c r="C7" s="278"/>
      <c r="D7" s="298"/>
      <c r="E7" s="299"/>
      <c r="F7" s="299"/>
      <c r="G7" s="299"/>
      <c r="H7" s="299"/>
      <c r="I7" s="299"/>
      <c r="J7" s="299"/>
      <c r="K7" s="299"/>
      <c r="L7" s="299"/>
      <c r="M7" s="299"/>
      <c r="N7" s="299"/>
      <c r="O7" s="299"/>
      <c r="P7" s="300"/>
      <c r="Q7" s="192" t="s">
        <v>5</v>
      </c>
      <c r="R7" s="192"/>
      <c r="S7" s="192"/>
      <c r="T7" s="287" t="str">
        <f>Sheet1!D9</f>
        <v>ชยานิษฐ์  โรจน์อัครนิธิ</v>
      </c>
      <c r="U7" s="287"/>
      <c r="V7" s="287"/>
      <c r="W7" s="287"/>
      <c r="X7" s="287"/>
      <c r="Y7" s="287"/>
      <c r="Z7" s="41"/>
    </row>
    <row r="8" spans="1:26">
      <c r="A8" s="192" t="s">
        <v>6</v>
      </c>
      <c r="B8" s="192"/>
      <c r="C8" s="192"/>
      <c r="D8" s="291" t="str">
        <f>Sheet1!D6</f>
        <v>ad</v>
      </c>
      <c r="E8" s="292"/>
      <c r="F8" s="292"/>
      <c r="G8" s="192" t="s">
        <v>7</v>
      </c>
      <c r="H8" s="192"/>
      <c r="I8" s="293" t="str">
        <f>Sheet1!D7</f>
        <v>gmail.com</v>
      </c>
      <c r="J8" s="294"/>
      <c r="K8" s="294"/>
      <c r="L8" s="294"/>
      <c r="M8" s="294"/>
      <c r="N8" s="294"/>
      <c r="O8" s="294"/>
      <c r="P8" s="294"/>
      <c r="Q8" s="192" t="s">
        <v>6</v>
      </c>
      <c r="R8" s="192"/>
      <c r="S8" s="192"/>
      <c r="T8" s="193" t="str">
        <f>Sheet1!D10</f>
        <v>085-907-7518</v>
      </c>
      <c r="U8" s="194"/>
      <c r="V8" s="194"/>
      <c r="W8" s="194"/>
      <c r="X8" s="194"/>
      <c r="Y8" s="195"/>
      <c r="Z8" s="41"/>
    </row>
    <row r="9" spans="1:26">
      <c r="Z9" s="41"/>
    </row>
    <row r="10" spans="1:26" ht="15.6">
      <c r="D10" s="2" t="s">
        <v>8</v>
      </c>
      <c r="S10" s="1"/>
      <c r="Z10" s="41"/>
    </row>
    <row r="11" spans="1:26" ht="27.75" customHeight="1">
      <c r="A11" s="286" t="s">
        <v>9</v>
      </c>
      <c r="B11" s="286"/>
      <c r="C11" s="288" t="s">
        <v>10</v>
      </c>
      <c r="D11" s="289"/>
      <c r="E11" s="289"/>
      <c r="F11" s="289"/>
      <c r="G11" s="289"/>
      <c r="H11" s="289"/>
      <c r="I11" s="289"/>
      <c r="J11" s="289"/>
      <c r="K11" s="289"/>
      <c r="L11" s="289"/>
      <c r="M11" s="289"/>
      <c r="N11" s="289"/>
      <c r="O11" s="289"/>
      <c r="P11" s="290"/>
      <c r="Q11" s="285" t="s">
        <v>11</v>
      </c>
      <c r="R11" s="285"/>
      <c r="S11" s="285"/>
      <c r="T11" s="285" t="s">
        <v>12</v>
      </c>
      <c r="U11" s="285"/>
      <c r="V11" s="285"/>
      <c r="W11" s="285" t="s">
        <v>13</v>
      </c>
      <c r="X11" s="285"/>
      <c r="Y11" s="285"/>
      <c r="Z11" s="41"/>
    </row>
    <row r="12" spans="1:26" ht="23.25" customHeight="1">
      <c r="A12" s="303">
        <v>1</v>
      </c>
      <c r="B12" s="322"/>
      <c r="C12" s="225" t="s">
        <v>128</v>
      </c>
      <c r="D12" s="226"/>
      <c r="E12" s="226"/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68"/>
      <c r="Q12" s="269"/>
      <c r="R12" s="270"/>
      <c r="S12" s="13"/>
      <c r="T12" s="222"/>
      <c r="U12" s="223"/>
      <c r="V12" s="224"/>
      <c r="W12" s="196"/>
      <c r="X12" s="197"/>
      <c r="Y12" s="198"/>
      <c r="Z12" s="41"/>
    </row>
    <row r="13" spans="1:26" ht="19.5" customHeight="1">
      <c r="A13" s="323"/>
      <c r="B13" s="324"/>
      <c r="C13" s="320" t="s">
        <v>97</v>
      </c>
      <c r="D13" s="321"/>
      <c r="E13" s="321"/>
      <c r="F13" s="23" t="str">
        <f>IF(Sheet1!E14=TRUE,Sheet1!E15,"ไม่มี")</f>
        <v>สี่เหลี่ยม</v>
      </c>
      <c r="G13" s="23" t="s">
        <v>36</v>
      </c>
      <c r="H13" s="92">
        <f>IF(Sheet1!E14=TRUE,Sheet1!E16,"-")</f>
        <v>4</v>
      </c>
      <c r="I13" s="11" t="s">
        <v>35</v>
      </c>
      <c r="J13" s="23" t="s">
        <v>38</v>
      </c>
      <c r="K13" s="92">
        <f>IF(Sheet1!E14=TRUE,Sheet1!E17,"-")</f>
        <v>2</v>
      </c>
      <c r="L13" s="11" t="s">
        <v>35</v>
      </c>
      <c r="M13" s="23" t="s">
        <v>37</v>
      </c>
      <c r="N13" s="92">
        <f>IF(Sheet1!E14=TRUE,Sheet1!E18,"-")</f>
        <v>1.2</v>
      </c>
      <c r="O13" s="11" t="s">
        <v>35</v>
      </c>
      <c r="P13" s="12"/>
      <c r="Q13" s="269" t="str">
        <f>IF(AND(Sheet1!G13=TRUE,F13="ครึ่งวงกลม"),(3.14*(K13/2)*(K13/2)/2),IF(AND(Sheet1!G13=TRUE,F13="วงกลม"),3.14*(K13/2)*(K13/2),IF(AND(Sheet1!G13=TRUE,F13="สี่เหลี่ยม"),H13*K13,"00")))</f>
        <v>00</v>
      </c>
      <c r="R13" s="270"/>
      <c r="S13" s="13" t="s">
        <v>39</v>
      </c>
      <c r="T13" s="222"/>
      <c r="U13" s="223"/>
      <c r="V13" s="224"/>
      <c r="W13" s="196">
        <f>T13*Q13</f>
        <v>0</v>
      </c>
      <c r="X13" s="197"/>
      <c r="Y13" s="198"/>
      <c r="Z13" s="41"/>
    </row>
    <row r="14" spans="1:26" s="41" customFormat="1" ht="19.95" hidden="1" customHeight="1">
      <c r="A14" s="323"/>
      <c r="B14" s="324"/>
      <c r="C14" s="320" t="s">
        <v>102</v>
      </c>
      <c r="D14" s="321"/>
      <c r="E14" s="321"/>
      <c r="F14" s="23" t="str">
        <f>IF(Sheet1!G14=TRUE,Sheet1!G15,"ไม่มี")</f>
        <v>ไม่มี</v>
      </c>
      <c r="G14" s="23" t="s">
        <v>36</v>
      </c>
      <c r="H14" s="92" t="str">
        <f>IF(Sheet1!G14=TRUE,Sheet1!G16,"-")</f>
        <v>-</v>
      </c>
      <c r="I14" s="11" t="s">
        <v>35</v>
      </c>
      <c r="J14" s="23" t="s">
        <v>38</v>
      </c>
      <c r="K14" s="92" t="str">
        <f>IF(Sheet1!G14=TRUE,Sheet1!G17,"-")</f>
        <v>-</v>
      </c>
      <c r="L14" s="11" t="s">
        <v>35</v>
      </c>
      <c r="M14" s="23" t="s">
        <v>37</v>
      </c>
      <c r="N14" s="92" t="str">
        <f>IF(Sheet1!G14=TRUE,Sheet1!G18,"-")</f>
        <v>-</v>
      </c>
      <c r="O14" s="11" t="s">
        <v>35</v>
      </c>
      <c r="P14" s="12"/>
      <c r="Q14" s="269" t="str">
        <f>IF(AND(Sheet1!G14=TRUE,F14="ครึ่งวงกลม"),(3.14*(K14/2)*(K14/2)/2),IF(AND(Sheet1!G14=TRUE,F14="วงกลม"),3.14*(K14/2)*(K14/2),IF(AND(Sheet1!G14=TRUE,F14="สี่เหลี่ยม"),H14*K14,"00")))</f>
        <v>00</v>
      </c>
      <c r="R14" s="270"/>
      <c r="S14" s="13" t="s">
        <v>39</v>
      </c>
      <c r="T14" s="222">
        <f>IF(N14&lt;=1,Sheet1!G22+Sheet1!L20,Sheet1!G22)</f>
        <v>0</v>
      </c>
      <c r="U14" s="223"/>
      <c r="V14" s="224"/>
      <c r="W14" s="196">
        <f>T14*Q14</f>
        <v>0</v>
      </c>
      <c r="X14" s="197"/>
      <c r="Y14" s="198"/>
    </row>
    <row r="15" spans="1:26" s="41" customFormat="1" ht="19.95" hidden="1" customHeight="1">
      <c r="A15" s="323"/>
      <c r="B15" s="324"/>
      <c r="C15" s="320" t="s">
        <v>103</v>
      </c>
      <c r="D15" s="321"/>
      <c r="E15" s="321"/>
      <c r="F15" s="23" t="str">
        <f>IF(Sheet1!I14=TRUE,Sheet1!I15,"ไม่มี")</f>
        <v>ไม่มี</v>
      </c>
      <c r="G15" s="140" t="s">
        <v>36</v>
      </c>
      <c r="H15" s="138" t="str">
        <f>IF(Sheet1!I14=TRUE,Sheet1!I16,"-")</f>
        <v>-</v>
      </c>
      <c r="I15" s="11" t="s">
        <v>35</v>
      </c>
      <c r="J15" s="23" t="s">
        <v>38</v>
      </c>
      <c r="K15" s="92" t="str">
        <f>IF(Sheet1!I14=TRUE,Sheet1!I17,"-")</f>
        <v>-</v>
      </c>
      <c r="L15" s="11" t="s">
        <v>35</v>
      </c>
      <c r="M15" s="23" t="s">
        <v>37</v>
      </c>
      <c r="N15" s="92" t="str">
        <f>IF(Sheet1!I14=TRUE,Sheet1!I18,"-")</f>
        <v>-</v>
      </c>
      <c r="O15" s="11" t="s">
        <v>35</v>
      </c>
      <c r="P15" s="12"/>
      <c r="Q15" s="269" t="str">
        <f>IF(AND(Sheet1!I14=TRUE,F15="ครึ่งวงกลม"),(3.14*(K15/2)*(K15/2)/2),IF(AND(Sheet1!I14=TRUE,F15="วงกลม"),3.14*(K15/2)*(K15/2),IF(AND(Sheet1!I14=TRUE,F15="สี่เหลี่ยม"),H15*K15,"00")))</f>
        <v>00</v>
      </c>
      <c r="R15" s="270"/>
      <c r="S15" s="13" t="s">
        <v>39</v>
      </c>
      <c r="T15" s="222">
        <f>IF(N15&lt;=1,Sheet1!I22+Sheet1!L20,Sheet1!I22)</f>
        <v>0</v>
      </c>
      <c r="U15" s="223"/>
      <c r="V15" s="224"/>
      <c r="W15" s="196">
        <f>T15*Q15</f>
        <v>0</v>
      </c>
      <c r="X15" s="197"/>
      <c r="Y15" s="198"/>
    </row>
    <row r="16" spans="1:26" ht="25.5" customHeight="1">
      <c r="A16" s="323"/>
      <c r="B16" s="324"/>
      <c r="C16" s="312" t="s">
        <v>49</v>
      </c>
      <c r="D16" s="313"/>
      <c r="E16" s="313"/>
      <c r="F16" s="313"/>
      <c r="G16" s="314"/>
      <c r="H16" s="317"/>
      <c r="I16" s="313"/>
      <c r="J16" s="313"/>
      <c r="K16" s="318"/>
      <c r="L16" s="318"/>
      <c r="M16" s="318"/>
      <c r="N16" s="318"/>
      <c r="O16" s="318"/>
      <c r="P16" s="319"/>
      <c r="Q16" s="213"/>
      <c r="R16" s="214"/>
      <c r="S16" s="215"/>
      <c r="T16" s="216"/>
      <c r="U16" s="217"/>
      <c r="V16" s="218"/>
      <c r="W16" s="213"/>
      <c r="X16" s="214"/>
      <c r="Y16" s="215"/>
      <c r="Z16" s="41"/>
    </row>
    <row r="17" spans="1:26" ht="25.5" customHeight="1">
      <c r="A17" s="323"/>
      <c r="B17" s="324"/>
      <c r="C17" s="312"/>
      <c r="D17" s="313"/>
      <c r="E17" s="313"/>
      <c r="F17" s="313"/>
      <c r="G17" s="314"/>
      <c r="H17" s="317"/>
      <c r="I17" s="313"/>
      <c r="J17" s="313"/>
      <c r="K17" s="318"/>
      <c r="L17" s="318"/>
      <c r="M17" s="318"/>
      <c r="N17" s="318"/>
      <c r="O17" s="318"/>
      <c r="P17" s="319"/>
      <c r="Q17" s="213"/>
      <c r="R17" s="214"/>
      <c r="S17" s="215"/>
      <c r="T17" s="216"/>
      <c r="U17" s="217"/>
      <c r="V17" s="218"/>
      <c r="W17" s="213"/>
      <c r="X17" s="214"/>
      <c r="Y17" s="215"/>
      <c r="Z17" s="41"/>
    </row>
    <row r="18" spans="1:26" ht="32.25" customHeight="1">
      <c r="A18" s="323"/>
      <c r="B18" s="324"/>
      <c r="C18" s="312"/>
      <c r="D18" s="313"/>
      <c r="E18" s="313"/>
      <c r="F18" s="313"/>
      <c r="G18" s="314"/>
      <c r="H18" s="317"/>
      <c r="I18" s="313"/>
      <c r="J18" s="313"/>
      <c r="K18" s="318"/>
      <c r="L18" s="318"/>
      <c r="M18" s="318"/>
      <c r="N18" s="318"/>
      <c r="O18" s="318"/>
      <c r="P18" s="319"/>
      <c r="Q18" s="213"/>
      <c r="R18" s="214"/>
      <c r="S18" s="215"/>
      <c r="T18" s="216"/>
      <c r="U18" s="217"/>
      <c r="V18" s="218"/>
      <c r="W18" s="213"/>
      <c r="X18" s="214"/>
      <c r="Y18" s="215"/>
      <c r="Z18" s="41"/>
    </row>
    <row r="19" spans="1:26" ht="21.75" customHeight="1">
      <c r="A19" s="323"/>
      <c r="B19" s="324"/>
      <c r="C19" s="22" t="s">
        <v>47</v>
      </c>
      <c r="D19" s="23"/>
      <c r="E19" s="23"/>
      <c r="F19" s="23"/>
      <c r="G19" s="139">
        <v>0</v>
      </c>
      <c r="H19" s="140"/>
      <c r="I19" s="23"/>
      <c r="J19" s="23"/>
      <c r="K19" s="85"/>
      <c r="L19" s="91"/>
      <c r="M19" s="24">
        <f>Q13+Q14+Q15</f>
        <v>0</v>
      </c>
      <c r="N19" s="118" t="s">
        <v>46</v>
      </c>
      <c r="O19" s="91"/>
      <c r="P19" s="18"/>
      <c r="Q19" s="15"/>
      <c r="R19" s="16"/>
      <c r="S19" s="17"/>
      <c r="T19" s="87"/>
      <c r="U19" s="87"/>
      <c r="V19" s="87"/>
      <c r="W19" s="15"/>
      <c r="X19" s="16"/>
      <c r="Y19" s="17"/>
      <c r="Z19" s="41"/>
    </row>
    <row r="20" spans="1:26" ht="38.25" customHeight="1">
      <c r="A20" s="305"/>
      <c r="B20" s="325"/>
      <c r="C20" s="307" t="s">
        <v>40</v>
      </c>
      <c r="D20" s="308"/>
      <c r="E20" s="308"/>
      <c r="F20" s="308"/>
      <c r="G20" s="329"/>
      <c r="H20" s="330"/>
      <c r="I20" s="308"/>
      <c r="J20" s="308"/>
      <c r="K20" s="308"/>
      <c r="L20" s="308"/>
      <c r="M20" s="308"/>
      <c r="N20" s="308"/>
      <c r="O20" s="308"/>
      <c r="P20" s="309"/>
      <c r="Q20" s="210"/>
      <c r="R20" s="211"/>
      <c r="S20" s="212"/>
      <c r="T20" s="219"/>
      <c r="U20" s="220"/>
      <c r="V20" s="221"/>
      <c r="W20" s="210"/>
      <c r="X20" s="211"/>
      <c r="Y20" s="212"/>
      <c r="Z20" s="41"/>
    </row>
    <row r="21" spans="1:26" ht="25.5" customHeight="1">
      <c r="A21" s="303">
        <v>2</v>
      </c>
      <c r="B21" s="322"/>
      <c r="C21" s="225" t="s">
        <v>41</v>
      </c>
      <c r="D21" s="226"/>
      <c r="E21" s="226"/>
      <c r="F21" s="226"/>
      <c r="G21" s="227"/>
      <c r="H21" s="228"/>
      <c r="I21" s="226"/>
      <c r="J21" s="9"/>
      <c r="K21" s="9"/>
      <c r="L21" s="9"/>
      <c r="M21" s="9"/>
      <c r="N21" s="9"/>
      <c r="O21" s="9"/>
      <c r="P21" s="10"/>
      <c r="Q21" s="196"/>
      <c r="R21" s="197"/>
      <c r="S21" s="198"/>
      <c r="T21" s="222"/>
      <c r="U21" s="223"/>
      <c r="V21" s="224"/>
      <c r="W21" s="196"/>
      <c r="X21" s="197"/>
      <c r="Y21" s="198"/>
      <c r="Z21" s="41"/>
    </row>
    <row r="22" spans="1:26" ht="22.5" customHeight="1">
      <c r="A22" s="323"/>
      <c r="B22" s="324"/>
      <c r="C22" s="312" t="str">
        <f>Sheet1!D34</f>
        <v>ในบ่อ กระเบื้องดินเผาสระน้ำ ขนาด 4x4 นิ้ว เลือกสีได้</v>
      </c>
      <c r="D22" s="313"/>
      <c r="E22" s="313"/>
      <c r="F22" s="313"/>
      <c r="G22" s="345"/>
      <c r="H22" s="315"/>
      <c r="I22" s="313"/>
      <c r="J22" s="313"/>
      <c r="K22" s="313"/>
      <c r="L22" s="313"/>
      <c r="M22" s="313"/>
      <c r="N22" s="313"/>
      <c r="O22" s="313"/>
      <c r="P22" s="316"/>
      <c r="Q22" s="346"/>
      <c r="R22" s="347"/>
      <c r="S22" s="14" t="s">
        <v>39</v>
      </c>
      <c r="T22" s="342">
        <f>VLOOKUP(C22,database!A:B,2,0)</f>
        <v>1800</v>
      </c>
      <c r="U22" s="343"/>
      <c r="V22" s="344"/>
      <c r="W22" s="207">
        <f>T22*Q22</f>
        <v>0</v>
      </c>
      <c r="X22" s="208"/>
      <c r="Y22" s="209"/>
      <c r="Z22" s="41"/>
    </row>
    <row r="23" spans="1:26" s="38" customFormat="1" ht="22.5" customHeight="1">
      <c r="A23" s="323"/>
      <c r="B23" s="324"/>
      <c r="C23" s="312" t="str">
        <f>Sheet1!D35</f>
        <v>ขอบบ่อ หินทรายขัดเรียบ</v>
      </c>
      <c r="D23" s="313"/>
      <c r="E23" s="313"/>
      <c r="F23" s="313"/>
      <c r="G23" s="314"/>
      <c r="H23" s="315"/>
      <c r="I23" s="313"/>
      <c r="J23" s="313"/>
      <c r="K23" s="313"/>
      <c r="L23" s="313"/>
      <c r="M23" s="313"/>
      <c r="N23" s="313"/>
      <c r="O23" s="313"/>
      <c r="P23" s="316"/>
      <c r="Q23" s="269"/>
      <c r="R23" s="270"/>
      <c r="S23" s="13" t="s">
        <v>35</v>
      </c>
      <c r="T23" s="222" t="e">
        <f>VLOOKUP(C23,database!C:D,2,0)</f>
        <v>#N/A</v>
      </c>
      <c r="U23" s="223"/>
      <c r="V23" s="224"/>
      <c r="W23" s="196" t="e">
        <f>T23*Q23</f>
        <v>#N/A</v>
      </c>
      <c r="X23" s="197"/>
      <c r="Y23" s="198"/>
      <c r="Z23" s="41"/>
    </row>
    <row r="24" spans="1:26" s="41" customFormat="1" ht="22.5" customHeight="1">
      <c r="A24" s="323"/>
      <c r="B24" s="324"/>
      <c r="C24" s="312" t="str">
        <f>CONCATENATE(Sheet1!D35,"   สูงจากพื้น ",Sheet1!E18,"  ",Sheet1!F18)</f>
        <v>ขอบบ่อ หินทรายขัดเรียบ   สูงจากพื้น 1.2  ม.</v>
      </c>
      <c r="D24" s="313"/>
      <c r="E24" s="313"/>
      <c r="F24" s="313"/>
      <c r="G24" s="332"/>
      <c r="H24" s="315"/>
      <c r="I24" s="313"/>
      <c r="J24" s="313"/>
      <c r="K24" s="313"/>
      <c r="L24" s="313"/>
      <c r="M24" s="313"/>
      <c r="N24" s="313"/>
      <c r="O24" s="313"/>
      <c r="P24" s="316"/>
      <c r="Q24" s="269">
        <f>Q22*Sheet1!E18</f>
        <v>0</v>
      </c>
      <c r="R24" s="270"/>
      <c r="S24" s="13" t="s">
        <v>39</v>
      </c>
      <c r="T24" s="222">
        <f>VLOOKUP(Sheet1!D36,database!E:F,2,0)</f>
        <v>1800</v>
      </c>
      <c r="U24" s="223"/>
      <c r="V24" s="224"/>
      <c r="W24" s="196">
        <f>T24*Q24</f>
        <v>0</v>
      </c>
      <c r="X24" s="197"/>
      <c r="Y24" s="198"/>
    </row>
    <row r="25" spans="1:26" ht="51.75" customHeight="1">
      <c r="A25" s="305"/>
      <c r="B25" s="325"/>
      <c r="C25" s="312" t="s">
        <v>185</v>
      </c>
      <c r="D25" s="313"/>
      <c r="E25" s="313"/>
      <c r="F25" s="313"/>
      <c r="G25" s="332"/>
      <c r="H25" s="315"/>
      <c r="I25" s="313"/>
      <c r="J25" s="313"/>
      <c r="K25" s="313"/>
      <c r="L25" s="313"/>
      <c r="M25" s="313"/>
      <c r="N25" s="313"/>
      <c r="O25" s="313"/>
      <c r="P25" s="316"/>
      <c r="Q25" s="269"/>
      <c r="R25" s="270"/>
      <c r="S25" s="13"/>
      <c r="T25" s="222"/>
      <c r="U25" s="223"/>
      <c r="V25" s="224"/>
      <c r="W25" s="196"/>
      <c r="X25" s="197"/>
      <c r="Y25" s="198"/>
      <c r="Z25" s="41"/>
    </row>
    <row r="26" spans="1:26" ht="21.75" customHeight="1">
      <c r="A26" s="303">
        <v>3</v>
      </c>
      <c r="B26" s="304"/>
      <c r="C26" s="310" t="s">
        <v>51</v>
      </c>
      <c r="D26" s="311"/>
      <c r="E26" s="311"/>
      <c r="F26" s="311"/>
      <c r="G26" s="311"/>
      <c r="H26" s="311"/>
      <c r="I26" s="311"/>
      <c r="J26" s="311"/>
      <c r="K26" s="37" t="str">
        <f>IF(Q12&lt;=20,"16",IF(Q12&lt;=35,"20",IF(Q12&lt;=50,"26""สอบถาม")))</f>
        <v>16</v>
      </c>
      <c r="L26" s="226" t="s">
        <v>127</v>
      </c>
      <c r="M26" s="226"/>
      <c r="N26" s="226"/>
      <c r="O26" s="226"/>
      <c r="P26" s="268"/>
      <c r="Q26" s="196"/>
      <c r="R26" s="197"/>
      <c r="S26" s="124" t="s">
        <v>96</v>
      </c>
      <c r="T26" s="222" t="str">
        <f>IF(Q12&lt;=10,"30000",IF(Q12&lt;=20,"35000",IF(Q12&lt;=30,"40000",IF(Q12&lt;=50,"45000","สอบถาม"))))</f>
        <v>30000</v>
      </c>
      <c r="U26" s="223"/>
      <c r="V26" s="224"/>
      <c r="W26" s="196">
        <f t="shared" ref="W26" si="0">T26*Q26</f>
        <v>0</v>
      </c>
      <c r="X26" s="197"/>
      <c r="Y26" s="198"/>
      <c r="Z26" s="41"/>
    </row>
    <row r="27" spans="1:26" ht="21.75" customHeight="1">
      <c r="A27" s="305"/>
      <c r="B27" s="306"/>
      <c r="C27" s="307" t="s">
        <v>147</v>
      </c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9"/>
      <c r="Q27" s="114"/>
      <c r="R27" s="115"/>
      <c r="S27" s="116"/>
      <c r="T27" s="88"/>
      <c r="U27" s="89"/>
      <c r="V27" s="90"/>
      <c r="W27" s="19"/>
      <c r="X27" s="20"/>
      <c r="Y27" s="21"/>
      <c r="Z27" s="41"/>
    </row>
    <row r="28" spans="1:26" ht="22.5" customHeight="1">
      <c r="A28" s="303">
        <v>4</v>
      </c>
      <c r="B28" s="322"/>
      <c r="C28" s="340" t="str">
        <f>CONCATENATE("งานระบบไฟ เดินสายติดตั้งตู้ควบคุม 1 จุด")</f>
        <v>งานระบบไฟ เดินสายติดตั้งตู้ควบคุม 1 จุด</v>
      </c>
      <c r="D28" s="341"/>
      <c r="E28" s="341"/>
      <c r="F28" s="341"/>
      <c r="G28" s="341"/>
      <c r="H28" s="341"/>
      <c r="I28" s="341"/>
      <c r="J28" s="341"/>
      <c r="K28" s="341"/>
      <c r="L28" s="341"/>
      <c r="M28" s="132">
        <f>Sheet1!E50</f>
        <v>2</v>
      </c>
      <c r="N28" s="133" t="s">
        <v>146</v>
      </c>
      <c r="O28" s="130"/>
      <c r="P28" s="131"/>
      <c r="Q28" s="213"/>
      <c r="R28" s="214"/>
      <c r="S28" s="36" t="s">
        <v>144</v>
      </c>
      <c r="T28" s="216"/>
      <c r="U28" s="217"/>
      <c r="V28" s="218"/>
      <c r="W28" s="196"/>
      <c r="X28" s="197"/>
      <c r="Y28" s="198"/>
      <c r="Z28" s="41"/>
    </row>
    <row r="29" spans="1:26" ht="22.5" customHeight="1">
      <c r="A29" s="323"/>
      <c r="B29" s="324"/>
      <c r="C29" s="334" t="s">
        <v>145</v>
      </c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6"/>
      <c r="Q29" s="213"/>
      <c r="R29" s="214"/>
      <c r="S29" s="215"/>
      <c r="T29" s="216"/>
      <c r="U29" s="217"/>
      <c r="V29" s="218"/>
      <c r="W29" s="213"/>
      <c r="X29" s="214"/>
      <c r="Y29" s="215"/>
      <c r="Z29" s="41"/>
    </row>
    <row r="30" spans="1:26" ht="22.5" customHeight="1">
      <c r="A30" s="323"/>
      <c r="B30" s="324"/>
      <c r="C30" s="334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6"/>
      <c r="Q30" s="213"/>
      <c r="R30" s="214"/>
      <c r="S30" s="215"/>
      <c r="T30" s="216"/>
      <c r="U30" s="217"/>
      <c r="V30" s="218"/>
      <c r="W30" s="213"/>
      <c r="X30" s="214"/>
      <c r="Y30" s="215"/>
      <c r="Z30" s="41"/>
    </row>
    <row r="31" spans="1:26" ht="42.75" customHeight="1">
      <c r="A31" s="305"/>
      <c r="B31" s="325"/>
      <c r="C31" s="337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9"/>
      <c r="Q31" s="210"/>
      <c r="R31" s="211"/>
      <c r="S31" s="212"/>
      <c r="T31" s="219"/>
      <c r="U31" s="220"/>
      <c r="V31" s="221"/>
      <c r="W31" s="210"/>
      <c r="X31" s="211"/>
      <c r="Y31" s="212"/>
      <c r="Z31" s="41"/>
    </row>
    <row r="32" spans="1:26" s="41" customFormat="1" ht="36.75" customHeight="1">
      <c r="A32" s="326">
        <v>5</v>
      </c>
      <c r="B32" s="327"/>
      <c r="C32" s="251" t="s">
        <v>43</v>
      </c>
      <c r="D32" s="252"/>
      <c r="E32" s="252"/>
      <c r="F32" s="252"/>
      <c r="G32" s="252"/>
      <c r="H32" s="252"/>
      <c r="I32" s="252"/>
      <c r="J32" s="252"/>
      <c r="K32" s="252"/>
      <c r="L32" s="252"/>
      <c r="M32" s="252"/>
      <c r="N32" s="252"/>
      <c r="O32" s="252"/>
      <c r="P32" s="253"/>
      <c r="Q32" s="213"/>
      <c r="R32" s="214"/>
      <c r="S32" s="71" t="s">
        <v>20</v>
      </c>
      <c r="T32" s="222">
        <v>6000</v>
      </c>
      <c r="U32" s="223"/>
      <c r="V32" s="224"/>
      <c r="W32" s="196">
        <f t="shared" ref="W32" si="1">T32*Q32</f>
        <v>0</v>
      </c>
      <c r="X32" s="197"/>
      <c r="Y32" s="198"/>
    </row>
    <row r="33" spans="1:30" ht="3" customHeight="1">
      <c r="A33" s="333"/>
      <c r="B33" s="327"/>
      <c r="C33" s="328"/>
      <c r="D33" s="331"/>
      <c r="E33" s="252"/>
      <c r="F33" s="252"/>
      <c r="G33" s="252"/>
      <c r="H33" s="252"/>
      <c r="I33" s="252"/>
      <c r="J33" s="252"/>
      <c r="K33" s="252"/>
      <c r="L33" s="252"/>
      <c r="M33" s="252"/>
      <c r="N33" s="252"/>
      <c r="O33" s="252"/>
      <c r="P33" s="252"/>
      <c r="Q33" s="210"/>
      <c r="R33" s="211"/>
      <c r="S33" s="125"/>
      <c r="T33" s="217"/>
      <c r="U33" s="217"/>
      <c r="V33" s="218"/>
      <c r="W33" s="213"/>
      <c r="X33" s="214"/>
      <c r="Y33" s="215"/>
      <c r="Z33" s="41"/>
    </row>
    <row r="34" spans="1:30" ht="21" customHeight="1">
      <c r="A34" s="11"/>
      <c r="B34" s="11"/>
      <c r="C34" s="11"/>
      <c r="D34" s="112">
        <v>2</v>
      </c>
      <c r="E34" s="11"/>
      <c r="F34" s="11"/>
      <c r="G34" s="11"/>
      <c r="H34" s="11"/>
      <c r="I34" s="11"/>
      <c r="J34" s="199" t="s">
        <v>14</v>
      </c>
      <c r="K34" s="200"/>
      <c r="L34" s="200"/>
      <c r="M34" s="200"/>
      <c r="N34" s="200"/>
      <c r="O34" s="200"/>
      <c r="P34" s="200"/>
      <c r="Q34" s="210"/>
      <c r="R34" s="211"/>
      <c r="S34" s="211"/>
      <c r="T34" s="208"/>
      <c r="U34" s="208"/>
      <c r="V34" s="208"/>
      <c r="W34" s="194" t="e">
        <f>SUM(W12:Y33)</f>
        <v>#N/A</v>
      </c>
      <c r="X34" s="194"/>
      <c r="Y34" s="195"/>
      <c r="Z34" s="41"/>
    </row>
    <row r="35" spans="1:30" ht="21" customHeight="1">
      <c r="A35" s="112">
        <v>3</v>
      </c>
      <c r="B35" s="11"/>
      <c r="C35" s="11"/>
      <c r="D35" s="11"/>
      <c r="E35" s="11"/>
      <c r="F35" s="11"/>
      <c r="G35" s="11"/>
      <c r="H35" s="11"/>
      <c r="I35" s="11"/>
      <c r="J35" s="199" t="str">
        <f>IF(D34=1,"ส่วนลดพิเศษ",IF(D34=2,"อื่นๆ","VAT"))</f>
        <v>อื่นๆ</v>
      </c>
      <c r="K35" s="200"/>
      <c r="L35" s="200"/>
      <c r="M35" s="200"/>
      <c r="N35" s="200"/>
      <c r="O35" s="200"/>
      <c r="P35" s="200"/>
      <c r="Q35" s="207"/>
      <c r="R35" s="208"/>
      <c r="S35" s="208"/>
      <c r="T35" s="208"/>
      <c r="U35" s="208"/>
      <c r="V35" s="208"/>
      <c r="W35" s="194">
        <f>IF(J35="vat 7%",W34*0.7,IF(J35="ส่วนลดพิเศษ",0,0))</f>
        <v>0</v>
      </c>
      <c r="X35" s="194"/>
      <c r="Y35" s="195"/>
      <c r="Z35" s="41"/>
      <c r="AA35" s="25"/>
      <c r="AB35" s="25"/>
      <c r="AC35" s="25"/>
      <c r="AD35" s="25"/>
    </row>
    <row r="36" spans="1:30" s="41" customFormat="1" ht="3" customHeight="1">
      <c r="A36" s="112"/>
      <c r="B36" s="11"/>
      <c r="C36" s="11"/>
      <c r="D36" s="11"/>
      <c r="E36" s="11"/>
      <c r="F36" s="11"/>
      <c r="G36" s="11"/>
      <c r="H36" s="11"/>
      <c r="I36" s="11"/>
      <c r="J36" s="199"/>
      <c r="K36" s="200"/>
      <c r="L36" s="200"/>
      <c r="M36" s="200"/>
      <c r="N36" s="200"/>
      <c r="O36" s="200"/>
      <c r="P36" s="200"/>
      <c r="Q36" s="207"/>
      <c r="R36" s="208"/>
      <c r="S36" s="208"/>
      <c r="T36" s="208"/>
      <c r="U36" s="208"/>
      <c r="V36" s="208"/>
      <c r="W36" s="194"/>
      <c r="X36" s="194"/>
      <c r="Y36" s="195"/>
      <c r="AA36" s="25"/>
      <c r="AB36" s="25"/>
      <c r="AC36" s="25"/>
      <c r="AD36" s="25"/>
    </row>
    <row r="37" spans="1:30" ht="21" customHeight="1">
      <c r="A37" s="11"/>
      <c r="B37" s="11"/>
      <c r="C37" s="11"/>
      <c r="D37" s="11"/>
      <c r="E37" s="11"/>
      <c r="F37" s="11"/>
      <c r="G37" s="11"/>
      <c r="H37" s="11"/>
      <c r="I37" s="11"/>
      <c r="J37" s="201" t="s">
        <v>42</v>
      </c>
      <c r="K37" s="202"/>
      <c r="L37" s="202"/>
      <c r="M37" s="202"/>
      <c r="N37" s="202"/>
      <c r="O37" s="202"/>
      <c r="P37" s="202"/>
      <c r="Q37" s="196"/>
      <c r="R37" s="197"/>
      <c r="S37" s="197"/>
      <c r="T37" s="197"/>
      <c r="U37" s="197"/>
      <c r="V37" s="197"/>
      <c r="W37" s="289" t="e">
        <f>SUM(W34:Y35)</f>
        <v>#N/A</v>
      </c>
      <c r="X37" s="289"/>
      <c r="Y37" s="290"/>
      <c r="Z37" s="41"/>
    </row>
    <row r="38" spans="1:30" ht="29.25" customHeight="1">
      <c r="C38" s="203" t="s">
        <v>15</v>
      </c>
      <c r="D38" s="203"/>
      <c r="E38" s="203"/>
      <c r="F38" s="204" t="e">
        <f>BAHTTEXT(W37)</f>
        <v>#N/A</v>
      </c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6"/>
      <c r="Z38" s="41"/>
    </row>
    <row r="39" spans="1:30" s="41" customFormat="1" ht="0.75" customHeight="1">
      <c r="C39" s="254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6"/>
    </row>
    <row r="40" spans="1:30" s="41" customFormat="1" ht="0.75" customHeight="1">
      <c r="C40" s="260"/>
      <c r="D40" s="261"/>
      <c r="E40" s="261"/>
      <c r="F40" s="261"/>
      <c r="G40" s="261"/>
      <c r="H40" s="261"/>
      <c r="I40" s="261"/>
      <c r="J40" s="261"/>
      <c r="K40" s="261"/>
      <c r="L40" s="261"/>
      <c r="M40" s="261"/>
      <c r="N40" s="261"/>
      <c r="O40" s="261"/>
      <c r="P40" s="261"/>
      <c r="Q40" s="261"/>
      <c r="R40" s="261"/>
      <c r="S40" s="261"/>
      <c r="T40" s="261"/>
      <c r="U40" s="261"/>
      <c r="V40" s="261"/>
      <c r="W40" s="261"/>
      <c r="X40" s="261"/>
      <c r="Y40" s="262"/>
    </row>
    <row r="41" spans="1:30" s="41" customFormat="1" ht="0.75" customHeight="1">
      <c r="C41" s="260"/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1"/>
      <c r="T41" s="261"/>
      <c r="U41" s="261"/>
      <c r="V41" s="261"/>
      <c r="W41" s="261"/>
      <c r="X41" s="261"/>
      <c r="Y41" s="262"/>
    </row>
    <row r="42" spans="1:30" s="41" customFormat="1" ht="0.75" customHeight="1">
      <c r="C42" s="257"/>
      <c r="D42" s="258"/>
      <c r="E42" s="258"/>
      <c r="F42" s="258"/>
      <c r="G42" s="258"/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258"/>
      <c r="U42" s="258"/>
      <c r="V42" s="258"/>
      <c r="W42" s="258"/>
      <c r="X42" s="258"/>
      <c r="Y42" s="259"/>
    </row>
    <row r="43" spans="1:30" ht="189.75" customHeight="1">
      <c r="C43" s="235" t="s">
        <v>135</v>
      </c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6"/>
      <c r="T43" s="236"/>
      <c r="U43" s="236"/>
      <c r="V43" s="236"/>
      <c r="W43" s="236"/>
      <c r="X43" s="236"/>
      <c r="Y43" s="237"/>
      <c r="Z43" s="41"/>
    </row>
    <row r="44" spans="1:30">
      <c r="C44" s="238" t="s">
        <v>16</v>
      </c>
      <c r="D44" s="239"/>
      <c r="E44" s="239"/>
      <c r="F44" s="239"/>
      <c r="G44" s="239"/>
      <c r="H44" s="239"/>
      <c r="I44" s="239"/>
      <c r="J44" s="239"/>
      <c r="K44" s="239"/>
      <c r="L44" s="239"/>
      <c r="M44" s="239"/>
      <c r="N44" s="239"/>
      <c r="O44" s="240" t="s">
        <v>17</v>
      </c>
      <c r="P44" s="240"/>
      <c r="Q44" s="240"/>
      <c r="R44" s="240"/>
      <c r="S44" s="240"/>
      <c r="T44" s="240"/>
      <c r="U44" s="240"/>
      <c r="V44" s="240"/>
      <c r="W44" s="240"/>
      <c r="X44" s="240"/>
      <c r="Y44" s="241"/>
      <c r="Z44" s="41"/>
    </row>
    <row r="45" spans="1:30" ht="48" customHeight="1">
      <c r="C45" s="242" t="s">
        <v>141</v>
      </c>
      <c r="D45" s="243"/>
      <c r="E45" s="243"/>
      <c r="F45" s="243"/>
      <c r="G45" s="243"/>
      <c r="H45" s="243"/>
      <c r="I45" s="243"/>
      <c r="J45" s="243"/>
      <c r="K45" s="243"/>
      <c r="L45" s="243"/>
      <c r="M45" s="243"/>
      <c r="N45" s="243"/>
      <c r="O45" s="243"/>
      <c r="P45" s="243"/>
      <c r="Q45" s="243"/>
      <c r="R45" s="243"/>
      <c r="S45" s="243"/>
      <c r="T45" s="243"/>
      <c r="U45" s="243"/>
      <c r="V45" s="243"/>
      <c r="W45" s="243"/>
      <c r="X45" s="243"/>
      <c r="Y45" s="244"/>
      <c r="Z45" s="41"/>
    </row>
    <row r="46" spans="1:30" ht="21.75" customHeight="1">
      <c r="C46" s="233" t="s">
        <v>32</v>
      </c>
      <c r="D46" s="234"/>
      <c r="E46" s="234"/>
      <c r="F46" s="234"/>
      <c r="G46" s="234"/>
      <c r="H46" s="234"/>
      <c r="I46" s="234"/>
      <c r="J46" s="234"/>
      <c r="K46" s="234"/>
      <c r="L46" s="234"/>
      <c r="M46" s="248" t="e">
        <f>W37*0.4</f>
        <v>#N/A</v>
      </c>
      <c r="N46" s="248"/>
      <c r="O46" s="248"/>
      <c r="P46" s="3" t="s">
        <v>34</v>
      </c>
      <c r="Q46" s="4"/>
      <c r="R46" s="4"/>
      <c r="S46" s="3"/>
      <c r="T46" s="4"/>
      <c r="U46" s="4"/>
      <c r="V46" s="4"/>
      <c r="W46" s="4"/>
      <c r="X46" s="4"/>
      <c r="Y46" s="5"/>
      <c r="Z46" s="41"/>
    </row>
    <row r="47" spans="1:30" ht="21.75" customHeight="1">
      <c r="C47" s="231" t="s">
        <v>137</v>
      </c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49" t="e">
        <f>W37*0.4</f>
        <v>#N/A</v>
      </c>
      <c r="U47" s="249"/>
      <c r="V47" s="249"/>
      <c r="W47" s="3" t="s">
        <v>34</v>
      </c>
      <c r="X47" s="3"/>
      <c r="Y47" s="6"/>
      <c r="Z47" s="41"/>
    </row>
    <row r="48" spans="1:30" ht="21.75" customHeight="1">
      <c r="C48" s="301" t="s">
        <v>33</v>
      </c>
      <c r="D48" s="302"/>
      <c r="E48" s="302"/>
      <c r="F48" s="302"/>
      <c r="G48" s="302"/>
      <c r="H48" s="302"/>
      <c r="I48" s="302"/>
      <c r="J48" s="302"/>
      <c r="K48" s="302"/>
      <c r="L48" s="302"/>
      <c r="M48" s="248" t="e">
        <f>W37*0.2</f>
        <v>#N/A</v>
      </c>
      <c r="N48" s="248"/>
      <c r="O48" s="248"/>
      <c r="P48" s="7" t="s">
        <v>34</v>
      </c>
      <c r="Q48" s="7"/>
      <c r="R48" s="7"/>
      <c r="S48" s="7"/>
      <c r="T48" s="7"/>
      <c r="U48" s="7"/>
      <c r="V48" s="7"/>
      <c r="W48" s="7"/>
      <c r="X48" s="7"/>
      <c r="Y48" s="8"/>
      <c r="Z48" s="41"/>
    </row>
    <row r="49" spans="3:26" ht="15.6">
      <c r="C49" s="245" t="s">
        <v>18</v>
      </c>
      <c r="D49" s="246"/>
      <c r="E49" s="246"/>
      <c r="F49" s="246"/>
      <c r="G49" s="246"/>
      <c r="H49" s="246"/>
      <c r="I49" s="246"/>
      <c r="J49" s="246"/>
      <c r="K49" s="246"/>
      <c r="L49" s="246"/>
      <c r="M49" s="246"/>
      <c r="N49" s="246"/>
      <c r="O49" s="246"/>
      <c r="P49" s="246"/>
      <c r="Q49" s="246"/>
      <c r="R49" s="246"/>
      <c r="S49" s="246"/>
      <c r="T49" s="246"/>
      <c r="U49" s="246"/>
      <c r="V49" s="246"/>
      <c r="W49" s="246"/>
      <c r="X49" s="246"/>
      <c r="Y49" s="247"/>
      <c r="Z49" s="41"/>
    </row>
    <row r="50" spans="3:26">
      <c r="C50" s="52" t="s">
        <v>19</v>
      </c>
      <c r="D50" s="53"/>
      <c r="E50" s="53"/>
      <c r="F50" s="53"/>
      <c r="G50" s="250" t="s">
        <v>88</v>
      </c>
      <c r="H50" s="250"/>
      <c r="I50" s="53" t="s">
        <v>20</v>
      </c>
      <c r="J50" s="53"/>
      <c r="K50" s="53"/>
      <c r="L50" s="53"/>
      <c r="M50" s="53"/>
      <c r="N50" s="53"/>
      <c r="O50" s="53"/>
      <c r="P50" s="53"/>
      <c r="Q50" s="53"/>
      <c r="R50" s="53"/>
      <c r="S50" s="45"/>
      <c r="T50" s="53"/>
      <c r="U50" s="53"/>
      <c r="V50" s="53"/>
      <c r="W50" s="53"/>
      <c r="X50" s="53"/>
      <c r="Y50" s="54"/>
      <c r="Z50" s="41"/>
    </row>
    <row r="51" spans="3:26" s="41" customFormat="1">
      <c r="C51" s="55"/>
      <c r="D51" s="51" t="s">
        <v>21</v>
      </c>
      <c r="E51" s="51"/>
      <c r="F51" s="51"/>
      <c r="G51" s="127"/>
      <c r="H51" s="127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6"/>
      <c r="T51" s="51"/>
      <c r="U51" s="51"/>
      <c r="V51" s="51"/>
      <c r="W51" s="51"/>
      <c r="X51" s="51"/>
      <c r="Y51" s="57"/>
    </row>
    <row r="52" spans="3:26">
      <c r="C52" s="59" t="s">
        <v>22</v>
      </c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6"/>
      <c r="T52" s="51"/>
      <c r="U52" s="51"/>
      <c r="V52" s="51"/>
      <c r="W52" s="51"/>
      <c r="X52" s="51"/>
      <c r="Y52" s="57"/>
      <c r="Z52" s="41"/>
    </row>
    <row r="53" spans="3:26">
      <c r="C53" s="55"/>
      <c r="D53" s="51" t="s">
        <v>23</v>
      </c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6"/>
      <c r="T53" s="51"/>
      <c r="U53" s="51"/>
      <c r="V53" s="51"/>
      <c r="W53" s="51"/>
      <c r="X53" s="51"/>
      <c r="Y53" s="57"/>
      <c r="Z53" s="41"/>
    </row>
    <row r="54" spans="3:26">
      <c r="C54" s="55"/>
      <c r="D54" s="51" t="s">
        <v>45</v>
      </c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6"/>
      <c r="T54" s="51"/>
      <c r="U54" s="51"/>
      <c r="V54" s="51"/>
      <c r="W54" s="51"/>
      <c r="X54" s="51"/>
      <c r="Y54" s="57"/>
      <c r="Z54" s="41"/>
    </row>
    <row r="55" spans="3:26">
      <c r="C55" s="55"/>
      <c r="D55" s="51" t="s">
        <v>44</v>
      </c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6"/>
      <c r="T55" s="51"/>
      <c r="U55" s="51"/>
      <c r="V55" s="51"/>
      <c r="W55" s="51"/>
      <c r="X55" s="51"/>
      <c r="Y55" s="57"/>
      <c r="Z55" s="41"/>
    </row>
    <row r="56" spans="3:26">
      <c r="C56" s="60" t="s">
        <v>24</v>
      </c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6"/>
      <c r="T56" s="51"/>
      <c r="U56" s="51"/>
      <c r="V56" s="51"/>
      <c r="W56" s="51"/>
      <c r="X56" s="51"/>
      <c r="Y56" s="57"/>
      <c r="Z56" s="41"/>
    </row>
    <row r="57" spans="3:26" ht="14.25" customHeight="1">
      <c r="C57" s="58"/>
      <c r="D57" s="229" t="s">
        <v>25</v>
      </c>
      <c r="E57" s="229"/>
      <c r="F57" s="229"/>
      <c r="G57" s="229"/>
      <c r="H57" s="229"/>
      <c r="I57" s="229"/>
      <c r="J57" s="229"/>
      <c r="K57" s="229"/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30"/>
      <c r="Z57" s="41"/>
    </row>
    <row r="58" spans="3:26">
      <c r="C58" s="48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6"/>
      <c r="T58" s="49"/>
      <c r="U58" s="49"/>
      <c r="V58" s="49"/>
      <c r="W58" s="49"/>
      <c r="X58" s="49"/>
      <c r="Y58" s="50"/>
    </row>
    <row r="59" spans="3:26"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7"/>
      <c r="T59" s="41"/>
      <c r="U59" s="41"/>
      <c r="V59" s="41"/>
      <c r="W59" s="41"/>
      <c r="X59" s="41"/>
      <c r="Y59" s="41"/>
    </row>
    <row r="60" spans="3:26">
      <c r="C60" s="41"/>
      <c r="D60" s="41" t="s">
        <v>26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7"/>
      <c r="T60" s="41"/>
      <c r="U60" s="41"/>
      <c r="V60" s="41"/>
      <c r="W60" s="41"/>
      <c r="X60" s="41"/>
      <c r="Y60" s="41"/>
    </row>
    <row r="61" spans="3:26"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7"/>
      <c r="T61" s="41"/>
      <c r="U61" s="41"/>
      <c r="V61" s="41"/>
      <c r="W61" s="41"/>
      <c r="X61" s="41"/>
      <c r="Y61" s="41"/>
    </row>
    <row r="62" spans="3:26"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7"/>
      <c r="T62" s="41"/>
      <c r="U62" s="41"/>
      <c r="V62" s="41"/>
      <c r="W62" s="41"/>
      <c r="X62" s="41"/>
      <c r="Y62" s="41"/>
    </row>
    <row r="63" spans="3:26"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7"/>
      <c r="T63" s="41"/>
      <c r="U63" s="41"/>
      <c r="V63" s="41"/>
      <c r="W63" s="41"/>
      <c r="X63" s="41"/>
      <c r="Y63" s="41"/>
    </row>
    <row r="64" spans="3:26">
      <c r="C64" s="41"/>
      <c r="D64" s="6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7"/>
      <c r="T64" s="41"/>
      <c r="U64" s="41"/>
      <c r="V64" s="41"/>
      <c r="W64" s="41"/>
      <c r="X64" s="41"/>
      <c r="Y64" s="41"/>
    </row>
    <row r="65" spans="3:25">
      <c r="C65" s="41"/>
      <c r="D65" s="6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7"/>
      <c r="T65" s="41"/>
      <c r="U65" s="41"/>
      <c r="V65" s="41"/>
      <c r="W65" s="41"/>
      <c r="X65" s="41"/>
      <c r="Y65" s="41"/>
    </row>
    <row r="66" spans="3:25"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117"/>
      <c r="R66" s="41"/>
      <c r="S66" s="41"/>
      <c r="T66" s="41"/>
      <c r="U66" s="41"/>
      <c r="V66" s="41"/>
      <c r="W66" s="41"/>
      <c r="X66" s="41"/>
    </row>
    <row r="67" spans="3:25">
      <c r="C67" s="41"/>
      <c r="D67" s="41" t="s">
        <v>28</v>
      </c>
      <c r="E67" s="61"/>
      <c r="F67" s="41"/>
      <c r="G67" s="41"/>
      <c r="H67" s="41"/>
      <c r="I67" s="41"/>
      <c r="J67" s="41"/>
      <c r="K67" s="41"/>
      <c r="L67" s="41"/>
      <c r="M67" s="41"/>
      <c r="N67" s="41" t="s">
        <v>29</v>
      </c>
      <c r="O67" s="41"/>
      <c r="P67" s="41"/>
      <c r="Q67" s="117"/>
      <c r="R67" s="41"/>
      <c r="S67" s="41"/>
      <c r="T67" s="41"/>
      <c r="U67" s="41"/>
      <c r="V67" s="41"/>
      <c r="W67" s="41"/>
      <c r="X67" s="41"/>
    </row>
    <row r="68" spans="3:25"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117"/>
      <c r="R68" s="41"/>
      <c r="S68" s="41"/>
      <c r="T68" s="41"/>
      <c r="U68" s="41"/>
      <c r="V68" s="41"/>
      <c r="W68" s="41"/>
      <c r="X68" s="41"/>
    </row>
    <row r="69" spans="3:25">
      <c r="C69" s="41"/>
      <c r="D69" s="41"/>
      <c r="E69" s="41" t="s">
        <v>140</v>
      </c>
      <c r="F69" s="126" t="str">
        <f>Sheet1!D9</f>
        <v>ชยานิษฐ์  โรจน์อัครนิธิ</v>
      </c>
      <c r="G69" s="126"/>
      <c r="H69" s="126"/>
      <c r="I69" s="126"/>
      <c r="J69" s="41" t="s">
        <v>139</v>
      </c>
      <c r="K69" s="41"/>
      <c r="L69" s="41"/>
      <c r="M69" s="41"/>
      <c r="N69" s="41"/>
      <c r="O69" s="41" t="s">
        <v>140</v>
      </c>
      <c r="P69" s="126" t="str">
        <f>Sheet1!D4</f>
        <v>sas</v>
      </c>
      <c r="Q69" s="126"/>
      <c r="R69" s="126"/>
      <c r="S69" s="126"/>
      <c r="T69" s="41"/>
      <c r="U69" s="41"/>
      <c r="V69" s="41"/>
      <c r="W69" s="41" t="s">
        <v>139</v>
      </c>
      <c r="X69" s="41"/>
    </row>
    <row r="70" spans="3:25"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117"/>
      <c r="R70" s="41"/>
      <c r="S70" s="41"/>
      <c r="T70" s="41"/>
      <c r="U70" s="41"/>
      <c r="V70" s="41"/>
      <c r="W70" s="41"/>
      <c r="X70" s="41"/>
    </row>
    <row r="71" spans="3:25">
      <c r="C71" s="41"/>
      <c r="D71" s="41" t="s">
        <v>30</v>
      </c>
      <c r="E71" s="41"/>
      <c r="F71" s="41"/>
      <c r="G71" s="41"/>
      <c r="H71" s="41"/>
      <c r="I71" s="41"/>
      <c r="J71" s="41"/>
      <c r="K71" s="41"/>
      <c r="L71" s="41"/>
      <c r="M71" s="41"/>
      <c r="N71" s="41" t="s">
        <v>31</v>
      </c>
      <c r="O71" s="41"/>
      <c r="P71" s="41"/>
      <c r="Q71" s="117"/>
      <c r="R71" s="41"/>
      <c r="S71" s="41"/>
      <c r="T71" s="41"/>
      <c r="U71" s="41"/>
      <c r="V71" s="41"/>
      <c r="W71" s="41"/>
      <c r="X71" s="41"/>
    </row>
    <row r="72" spans="3:25"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</row>
  </sheetData>
  <mergeCells count="145">
    <mergeCell ref="T24:V24"/>
    <mergeCell ref="W24:Y24"/>
    <mergeCell ref="C29:P31"/>
    <mergeCell ref="C28:L28"/>
    <mergeCell ref="A21:B25"/>
    <mergeCell ref="W26:Y26"/>
    <mergeCell ref="T28:V28"/>
    <mergeCell ref="T29:V29"/>
    <mergeCell ref="Q26:R26"/>
    <mergeCell ref="C25:P25"/>
    <mergeCell ref="C22:P22"/>
    <mergeCell ref="Q22:R22"/>
    <mergeCell ref="Q25:R25"/>
    <mergeCell ref="T22:V22"/>
    <mergeCell ref="Q29:S29"/>
    <mergeCell ref="Q30:S30"/>
    <mergeCell ref="Q31:S31"/>
    <mergeCell ref="Q34:S34"/>
    <mergeCell ref="Q28:R28"/>
    <mergeCell ref="C24:P24"/>
    <mergeCell ref="Q24:R24"/>
    <mergeCell ref="A28:B31"/>
    <mergeCell ref="A33:B33"/>
    <mergeCell ref="A32:B32"/>
    <mergeCell ref="C40:Y40"/>
    <mergeCell ref="T35:V35"/>
    <mergeCell ref="W35:Y35"/>
    <mergeCell ref="T37:V37"/>
    <mergeCell ref="W37:Y37"/>
    <mergeCell ref="Q35:S35"/>
    <mergeCell ref="Q33:R33"/>
    <mergeCell ref="C33:D33"/>
    <mergeCell ref="E33:P33"/>
    <mergeCell ref="J36:P36"/>
    <mergeCell ref="Q36:S36"/>
    <mergeCell ref="A12:B20"/>
    <mergeCell ref="C20:P20"/>
    <mergeCell ref="W13:Y13"/>
    <mergeCell ref="W16:Y16"/>
    <mergeCell ref="W17:Y17"/>
    <mergeCell ref="W18:Y18"/>
    <mergeCell ref="Q16:S16"/>
    <mergeCell ref="Q17:S17"/>
    <mergeCell ref="Q18:S18"/>
    <mergeCell ref="Q20:S20"/>
    <mergeCell ref="W23:Y23"/>
    <mergeCell ref="W20:Y20"/>
    <mergeCell ref="W14:Y14"/>
    <mergeCell ref="Q15:R15"/>
    <mergeCell ref="T15:V15"/>
    <mergeCell ref="W15:Y15"/>
    <mergeCell ref="W32:Y32"/>
    <mergeCell ref="W25:Y25"/>
    <mergeCell ref="D6:P7"/>
    <mergeCell ref="C48:L48"/>
    <mergeCell ref="M48:O48"/>
    <mergeCell ref="T16:V16"/>
    <mergeCell ref="T17:V17"/>
    <mergeCell ref="T18:V18"/>
    <mergeCell ref="A26:B27"/>
    <mergeCell ref="C27:P27"/>
    <mergeCell ref="C26:J26"/>
    <mergeCell ref="L26:P26"/>
    <mergeCell ref="C23:P23"/>
    <mergeCell ref="Q23:R23"/>
    <mergeCell ref="T23:V23"/>
    <mergeCell ref="Q11:S11"/>
    <mergeCell ref="T11:V11"/>
    <mergeCell ref="T20:V20"/>
    <mergeCell ref="T13:V13"/>
    <mergeCell ref="C16:P18"/>
    <mergeCell ref="C13:E13"/>
    <mergeCell ref="C14:E14"/>
    <mergeCell ref="C15:E15"/>
    <mergeCell ref="Q13:R13"/>
    <mergeCell ref="Q14:R14"/>
    <mergeCell ref="T14:V14"/>
    <mergeCell ref="E1:Y1"/>
    <mergeCell ref="E2:Y2"/>
    <mergeCell ref="A1:D3"/>
    <mergeCell ref="A4:Y4"/>
    <mergeCell ref="C12:P12"/>
    <mergeCell ref="Q12:R12"/>
    <mergeCell ref="A5:C5"/>
    <mergeCell ref="D5:P5"/>
    <mergeCell ref="Q5:U5"/>
    <mergeCell ref="V5:Y5"/>
    <mergeCell ref="A6:C7"/>
    <mergeCell ref="Q6:S6"/>
    <mergeCell ref="T6:Y6"/>
    <mergeCell ref="Q7:S7"/>
    <mergeCell ref="T12:V12"/>
    <mergeCell ref="W12:Y12"/>
    <mergeCell ref="W11:Y11"/>
    <mergeCell ref="A11:B11"/>
    <mergeCell ref="T7:Y7"/>
    <mergeCell ref="A8:C8"/>
    <mergeCell ref="C11:P11"/>
    <mergeCell ref="D8:F8"/>
    <mergeCell ref="G8:H8"/>
    <mergeCell ref="I8:P8"/>
    <mergeCell ref="T25:V25"/>
    <mergeCell ref="T26:V26"/>
    <mergeCell ref="Q21:S21"/>
    <mergeCell ref="D57:Y57"/>
    <mergeCell ref="C47:S47"/>
    <mergeCell ref="C46:L46"/>
    <mergeCell ref="C43:Y43"/>
    <mergeCell ref="C44:N44"/>
    <mergeCell ref="O44:Y44"/>
    <mergeCell ref="C45:Y45"/>
    <mergeCell ref="C49:Y49"/>
    <mergeCell ref="M46:O46"/>
    <mergeCell ref="T47:V47"/>
    <mergeCell ref="G50:H50"/>
    <mergeCell ref="T33:V33"/>
    <mergeCell ref="C32:P32"/>
    <mergeCell ref="Q32:R32"/>
    <mergeCell ref="T32:V32"/>
    <mergeCell ref="T36:V36"/>
    <mergeCell ref="W36:Y36"/>
    <mergeCell ref="C39:Y39"/>
    <mergeCell ref="C42:Y42"/>
    <mergeCell ref="C41:Y41"/>
    <mergeCell ref="Q8:S8"/>
    <mergeCell ref="T8:Y8"/>
    <mergeCell ref="Q37:S37"/>
    <mergeCell ref="J34:P34"/>
    <mergeCell ref="J37:P37"/>
    <mergeCell ref="J35:P35"/>
    <mergeCell ref="C38:E38"/>
    <mergeCell ref="F38:Y38"/>
    <mergeCell ref="W22:Y22"/>
    <mergeCell ref="W31:Y31"/>
    <mergeCell ref="W33:Y33"/>
    <mergeCell ref="W28:Y28"/>
    <mergeCell ref="W29:Y29"/>
    <mergeCell ref="W30:Y30"/>
    <mergeCell ref="T30:V30"/>
    <mergeCell ref="T31:V31"/>
    <mergeCell ref="T21:V21"/>
    <mergeCell ref="W21:Y21"/>
    <mergeCell ref="W34:Y34"/>
    <mergeCell ref="T34:V34"/>
    <mergeCell ref="C21:I21"/>
  </mergeCells>
  <pageMargins left="0.23622047244094491" right="0" top="0.35433070866141736" bottom="0.55118110236220474" header="0.31496062992125984" footer="0.31496062992125984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Option Button 2">
              <controlPr defaultSize="0" print="0" autoFill="0" autoLine="0" autoPict="0">
                <anchor moveWithCells="1" sizeWithCells="1">
                  <from>
                    <xdr:col>3</xdr:col>
                    <xdr:colOff>76200</xdr:colOff>
                    <xdr:row>34</xdr:row>
                    <xdr:rowOff>22860</xdr:rowOff>
                  </from>
                  <to>
                    <xdr:col>6</xdr:col>
                    <xdr:colOff>38100</xdr:colOff>
                    <xdr:row>34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print="0" autoFill="0" autoLine="0" autoPict="0">
                <anchor moveWithCells="1" sizeWithCells="1">
                  <from>
                    <xdr:col>6</xdr:col>
                    <xdr:colOff>60960</xdr:colOff>
                    <xdr:row>34</xdr:row>
                    <xdr:rowOff>7620</xdr:rowOff>
                  </from>
                  <to>
                    <xdr:col>8</xdr:col>
                    <xdr:colOff>160020</xdr:colOff>
                    <xdr:row>34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A1:AD68"/>
  <sheetViews>
    <sheetView tabSelected="1" topLeftCell="A4" zoomScale="85" zoomScaleNormal="85" workbookViewId="0">
      <selection activeCell="Z33" sqref="Z33"/>
    </sheetView>
  </sheetViews>
  <sheetFormatPr defaultColWidth="9" defaultRowHeight="14.4"/>
  <cols>
    <col min="1" max="3" width="2.33203125" style="41" customWidth="1"/>
    <col min="4" max="5" width="3.77734375" style="41" customWidth="1"/>
    <col min="6" max="6" width="10.21875" style="41" customWidth="1"/>
    <col min="7" max="7" width="5.109375" style="41" customWidth="1"/>
    <col min="8" max="8" width="4.33203125" style="41" customWidth="1"/>
    <col min="9" max="9" width="3.109375" style="41" customWidth="1"/>
    <col min="10" max="11" width="4.33203125" style="41" customWidth="1"/>
    <col min="12" max="12" width="3.109375" style="41" customWidth="1"/>
    <col min="13" max="14" width="4.33203125" style="41" customWidth="1"/>
    <col min="15" max="15" width="3.109375" style="41" customWidth="1"/>
    <col min="16" max="16" width="1.21875" style="41" customWidth="1"/>
    <col min="17" max="17" width="2.77734375" style="41" customWidth="1"/>
    <col min="18" max="18" width="3.77734375" style="41" customWidth="1"/>
    <col min="19" max="19" width="4.33203125" style="41" customWidth="1"/>
    <col min="20" max="21" width="3.77734375" style="41" customWidth="1"/>
    <col min="22" max="22" width="1.6640625" style="41" customWidth="1"/>
    <col min="23" max="24" width="3.77734375" style="41" customWidth="1"/>
    <col min="25" max="25" width="1.88671875" style="41" customWidth="1"/>
    <col min="26" max="26" width="55.21875" style="41" customWidth="1"/>
    <col min="27" max="16384" width="9" style="41"/>
  </cols>
  <sheetData>
    <row r="1" spans="1:25" ht="27.75" customHeight="1">
      <c r="A1" s="266"/>
      <c r="B1" s="266"/>
      <c r="C1" s="266"/>
      <c r="D1" s="266"/>
      <c r="E1" s="263" t="str">
        <f>CONCATENATE("ม่านน้ำ ดีไซน์  Maannam Design โดย ",Sheet1!D9)</f>
        <v>ม่านน้ำ ดีไซน์  Maannam Design โดย ชยานิษฐ์  โรจน์อัครนิธิ</v>
      </c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</row>
    <row r="2" spans="1:25" ht="33.75" customHeight="1">
      <c r="A2" s="266"/>
      <c r="B2" s="266"/>
      <c r="C2" s="266"/>
      <c r="D2" s="266"/>
      <c r="E2" s="264" t="str">
        <f>CONCATENATE("74/26 หมู่ที่ 5 ซอย ท่าอิฐ ถ.รัตนาธิเบศร์ ต.ท่าอิฐ อ.ปากเกร็ด จ.นนทบุรี 
โทร  ",Sheet1!D10,"  ","โทร/แฟกซ์ 02-1496091")</f>
        <v>74/26 หมู่ที่ 5 ซอย ท่าอิฐ ถ.รัตนาธิเบศร์ ต.ท่าอิฐ อ.ปากเกร็ด จ.นนทบุรี 
โทร  085-907-7518  โทร/แฟกซ์ 02-1496091</v>
      </c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</row>
    <row r="3" spans="1:25" ht="9" customHeight="1">
      <c r="A3" s="266"/>
      <c r="B3" s="266"/>
      <c r="C3" s="266"/>
      <c r="D3" s="266"/>
    </row>
    <row r="4" spans="1:25" ht="23.4">
      <c r="A4" s="267" t="s">
        <v>0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</row>
    <row r="5" spans="1:25" ht="18.75" customHeight="1">
      <c r="A5" s="192" t="s">
        <v>1</v>
      </c>
      <c r="B5" s="192"/>
      <c r="C5" s="192"/>
      <c r="D5" s="271" t="str">
        <f>CONCATENATE("คุณ ",Sheet1!D4)</f>
        <v>คุณ sas</v>
      </c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192" t="s">
        <v>2</v>
      </c>
      <c r="R5" s="192"/>
      <c r="S5" s="192"/>
      <c r="T5" s="192"/>
      <c r="U5" s="192"/>
      <c r="V5" s="272" t="str">
        <f>CONCATENATE(Sheet1!D11,"-",Sheet1!D12)</f>
        <v>asa-sas</v>
      </c>
      <c r="W5" s="272"/>
      <c r="X5" s="272"/>
      <c r="Y5" s="272"/>
    </row>
    <row r="6" spans="1:25" ht="18.75" customHeight="1">
      <c r="A6" s="273" t="s">
        <v>3</v>
      </c>
      <c r="B6" s="274"/>
      <c r="C6" s="275"/>
      <c r="D6" s="295" t="str">
        <f>Sheet1!D5</f>
        <v>sas</v>
      </c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7"/>
      <c r="Q6" s="279" t="s">
        <v>4</v>
      </c>
      <c r="R6" s="280"/>
      <c r="S6" s="281"/>
      <c r="T6" s="282" t="str">
        <f>Sheet1!D8</f>
        <v>โปรดเติม</v>
      </c>
      <c r="U6" s="283"/>
      <c r="V6" s="283"/>
      <c r="W6" s="283"/>
      <c r="X6" s="283"/>
      <c r="Y6" s="284"/>
    </row>
    <row r="7" spans="1:25" ht="18" customHeight="1">
      <c r="A7" s="276"/>
      <c r="B7" s="277"/>
      <c r="C7" s="278"/>
      <c r="D7" s="298"/>
      <c r="E7" s="299"/>
      <c r="F7" s="299"/>
      <c r="G7" s="299"/>
      <c r="H7" s="299"/>
      <c r="I7" s="299"/>
      <c r="J7" s="299"/>
      <c r="K7" s="299"/>
      <c r="L7" s="299"/>
      <c r="M7" s="299"/>
      <c r="N7" s="299"/>
      <c r="O7" s="299"/>
      <c r="P7" s="300"/>
      <c r="Q7" s="192" t="s">
        <v>5</v>
      </c>
      <c r="R7" s="192"/>
      <c r="S7" s="192"/>
      <c r="T7" s="287" t="str">
        <f>Sheet1!D9</f>
        <v>ชยานิษฐ์  โรจน์อัครนิธิ</v>
      </c>
      <c r="U7" s="287"/>
      <c r="V7" s="287"/>
      <c r="W7" s="287"/>
      <c r="X7" s="287"/>
      <c r="Y7" s="287"/>
    </row>
    <row r="8" spans="1:25">
      <c r="A8" s="192" t="s">
        <v>6</v>
      </c>
      <c r="B8" s="192"/>
      <c r="C8" s="192"/>
      <c r="D8" s="291" t="str">
        <f>Sheet1!D6</f>
        <v>ad</v>
      </c>
      <c r="E8" s="292"/>
      <c r="F8" s="292"/>
      <c r="G8" s="192" t="s">
        <v>7</v>
      </c>
      <c r="H8" s="192"/>
      <c r="I8" s="293" t="str">
        <f>Sheet1!D7</f>
        <v>gmail.com</v>
      </c>
      <c r="J8" s="294"/>
      <c r="K8" s="294"/>
      <c r="L8" s="294"/>
      <c r="M8" s="294"/>
      <c r="N8" s="294"/>
      <c r="O8" s="294"/>
      <c r="P8" s="294"/>
      <c r="Q8" s="192" t="s">
        <v>6</v>
      </c>
      <c r="R8" s="192"/>
      <c r="S8" s="192"/>
      <c r="T8" s="193" t="str">
        <f>Sheet1!D10</f>
        <v>085-907-7518</v>
      </c>
      <c r="U8" s="194"/>
      <c r="V8" s="194"/>
      <c r="W8" s="194"/>
      <c r="X8" s="194"/>
      <c r="Y8" s="195"/>
    </row>
    <row r="10" spans="1:25" ht="15.6">
      <c r="D10" s="42" t="s">
        <v>8</v>
      </c>
      <c r="S10" s="47"/>
    </row>
    <row r="11" spans="1:25" ht="27.75" customHeight="1">
      <c r="A11" s="286" t="s">
        <v>9</v>
      </c>
      <c r="B11" s="286"/>
      <c r="C11" s="288" t="s">
        <v>10</v>
      </c>
      <c r="D11" s="289"/>
      <c r="E11" s="289"/>
      <c r="F11" s="289"/>
      <c r="G11" s="289"/>
      <c r="H11" s="289"/>
      <c r="I11" s="289"/>
      <c r="J11" s="289"/>
      <c r="K11" s="289"/>
      <c r="L11" s="289"/>
      <c r="M11" s="289"/>
      <c r="N11" s="289"/>
      <c r="O11" s="289"/>
      <c r="P11" s="290"/>
      <c r="Q11" s="285" t="s">
        <v>11</v>
      </c>
      <c r="R11" s="285"/>
      <c r="S11" s="285"/>
      <c r="T11" s="285" t="s">
        <v>12</v>
      </c>
      <c r="U11" s="285"/>
      <c r="V11" s="285"/>
      <c r="W11" s="285" t="s">
        <v>13</v>
      </c>
      <c r="X11" s="285"/>
      <c r="Y11" s="285"/>
    </row>
    <row r="12" spans="1:25" ht="22.5" customHeight="1">
      <c r="A12" s="303">
        <v>1</v>
      </c>
      <c r="B12" s="322"/>
      <c r="C12" s="225" t="s">
        <v>129</v>
      </c>
      <c r="D12" s="226"/>
      <c r="E12" s="226"/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68"/>
      <c r="Q12" s="269"/>
      <c r="R12" s="270"/>
      <c r="S12" s="13"/>
      <c r="T12" s="222"/>
      <c r="U12" s="223"/>
      <c r="V12" s="224"/>
      <c r="W12" s="196"/>
      <c r="X12" s="197"/>
      <c r="Y12" s="198"/>
    </row>
    <row r="13" spans="1:25" ht="19.5" customHeight="1">
      <c r="A13" s="323"/>
      <c r="B13" s="324"/>
      <c r="C13" s="320" t="s">
        <v>90</v>
      </c>
      <c r="D13" s="321"/>
      <c r="E13" s="321"/>
      <c r="F13" s="23" t="str">
        <f>IF(Sheet1!E14=TRUE,Sheet1!E15,"ไม่มี")</f>
        <v>สี่เหลี่ยม</v>
      </c>
      <c r="G13" s="23" t="s">
        <v>36</v>
      </c>
      <c r="H13" s="92">
        <f>IF(Sheet1!E14=TRUE,Sheet1!E16,"-")</f>
        <v>4</v>
      </c>
      <c r="I13" s="11" t="s">
        <v>35</v>
      </c>
      <c r="J13" s="23" t="s">
        <v>38</v>
      </c>
      <c r="K13" s="92">
        <f>IF(Sheet1!E14=TRUE,Sheet1!E17,"-")</f>
        <v>2</v>
      </c>
      <c r="L13" s="11" t="s">
        <v>35</v>
      </c>
      <c r="M13" s="23" t="s">
        <v>37</v>
      </c>
      <c r="N13" s="92">
        <f>IF(Sheet1!E14=TRUE,Sheet1!E18,"-")</f>
        <v>1.2</v>
      </c>
      <c r="O13" s="11" t="s">
        <v>35</v>
      </c>
      <c r="P13" s="12"/>
      <c r="Q13" s="269">
        <f>IF(AND(Sheet1!E14=TRUE,F13="ครึ่งวงกลม"),(3.14*(K13/2)*(K13/2)/2),IF(AND(Sheet1!E14=TRUE,F13="วงกลม"),3.14*(K13/2)*(K13/2),IF(AND(Sheet1!E14=TRUE,F13="สี่เหลี่ยม"),H13*K13,"0")))</f>
        <v>8</v>
      </c>
      <c r="R13" s="270"/>
      <c r="S13" s="13" t="s">
        <v>39</v>
      </c>
      <c r="T13" s="222" t="str">
        <f>IF(N13&lt;=1,Sheet1!E22+Sheet1!L20,Sheet1!E22)</f>
        <v>11000</v>
      </c>
      <c r="U13" s="223"/>
      <c r="V13" s="224"/>
      <c r="W13" s="196">
        <f t="shared" ref="W13:W18" si="0">T13*Q13</f>
        <v>88000</v>
      </c>
      <c r="X13" s="197"/>
      <c r="Y13" s="198"/>
    </row>
    <row r="14" spans="1:25" ht="19.5" customHeight="1">
      <c r="A14" s="27"/>
      <c r="B14" s="28"/>
      <c r="C14" s="320" t="s">
        <v>91</v>
      </c>
      <c r="D14" s="321"/>
      <c r="E14" s="321"/>
      <c r="F14" s="23" t="str">
        <f>IF(Sheet1!G14=TRUE,Sheet1!G15,"ไม่มี")</f>
        <v>ไม่มี</v>
      </c>
      <c r="G14" s="23" t="s">
        <v>36</v>
      </c>
      <c r="H14" s="92" t="str">
        <f>IF(Sheet1!G14=TRUE,Sheet1!G16,"-")</f>
        <v>-</v>
      </c>
      <c r="I14" s="11" t="s">
        <v>35</v>
      </c>
      <c r="J14" s="23" t="s">
        <v>38</v>
      </c>
      <c r="K14" s="92" t="str">
        <f>IF(Sheet1!G14=TRUE,Sheet1!G17,"-")</f>
        <v>-</v>
      </c>
      <c r="L14" s="11" t="s">
        <v>35</v>
      </c>
      <c r="M14" s="23" t="s">
        <v>37</v>
      </c>
      <c r="N14" s="92" t="str">
        <f>IF(Sheet1!G14=TRUE,Sheet1!G18,"-")</f>
        <v>-</v>
      </c>
      <c r="O14" s="11" t="s">
        <v>35</v>
      </c>
      <c r="P14" s="12"/>
      <c r="Q14" s="269" t="str">
        <f>IF(AND(Sheet1!G14=TRUE,F14="ครึ่งวงกลม"),(3.14*(K14/2)*(K14/2)/2),IF(AND(Sheet1!G14=TRUE,F14="วงกลม"),3.14*(K14/2)*(K14/2),IF(AND(Sheet1!G14=TRUE,F14="สี่เหลี่ยม"),H14*K14,"00")))</f>
        <v>00</v>
      </c>
      <c r="R14" s="270"/>
      <c r="S14" s="13" t="s">
        <v>39</v>
      </c>
      <c r="T14" s="222">
        <f>IF(N14&lt;=1,Sheet1!G22+Sheet1!L20,Sheet1!G22)</f>
        <v>0</v>
      </c>
      <c r="U14" s="223"/>
      <c r="V14" s="224"/>
      <c r="W14" s="196">
        <f t="shared" si="0"/>
        <v>0</v>
      </c>
      <c r="X14" s="197"/>
      <c r="Y14" s="198"/>
    </row>
    <row r="15" spans="1:25" ht="19.5" customHeight="1">
      <c r="A15" s="27"/>
      <c r="B15" s="28"/>
      <c r="C15" s="320" t="s">
        <v>89</v>
      </c>
      <c r="D15" s="321"/>
      <c r="E15" s="321"/>
      <c r="F15" s="23" t="str">
        <f>IF(Sheet1!I14=TRUE,Sheet1!I15,"ไม่มี")</f>
        <v>ไม่มี</v>
      </c>
      <c r="G15" s="23" t="s">
        <v>36</v>
      </c>
      <c r="H15" s="92" t="str">
        <f>IF(Sheet1!I14=TRUE,Sheet1!I16,"-")</f>
        <v>-</v>
      </c>
      <c r="I15" s="11" t="s">
        <v>35</v>
      </c>
      <c r="J15" s="23" t="s">
        <v>38</v>
      </c>
      <c r="K15" s="92" t="str">
        <f>IF(Sheet1!I14=TRUE,Sheet1!I17,"-")</f>
        <v>-</v>
      </c>
      <c r="L15" s="11" t="s">
        <v>35</v>
      </c>
      <c r="M15" s="23" t="s">
        <v>37</v>
      </c>
      <c r="N15" s="92" t="str">
        <f>IF(Sheet1!I14=TRUE,Sheet1!I18,"-")</f>
        <v>-</v>
      </c>
      <c r="O15" s="11" t="s">
        <v>35</v>
      </c>
      <c r="P15" s="12"/>
      <c r="Q15" s="269" t="str">
        <f>IF(AND(Sheet1!I14=TRUE,F15="ครึ่งวงกลม"),(3.14*(K15/2)*(K15/2)/2),IF(AND(Sheet1!I14=TRUE,F15="วงกลม"),3.14*(K15/2)*(K15/2),IF(AND(Sheet1!I14=TRUE,F15="สี่เหลี่ยม"),H15*K15,"00")))</f>
        <v>00</v>
      </c>
      <c r="R15" s="270"/>
      <c r="S15" s="13" t="s">
        <v>39</v>
      </c>
      <c r="T15" s="222">
        <f>IF(N15&lt;=1,Sheet1!I22+Sheet1!L20,Sheet1!I22)</f>
        <v>0</v>
      </c>
      <c r="U15" s="223"/>
      <c r="V15" s="224"/>
      <c r="W15" s="196">
        <f>T15*Q15</f>
        <v>0</v>
      </c>
      <c r="X15" s="197"/>
      <c r="Y15" s="198"/>
    </row>
    <row r="16" spans="1:25" ht="19.5" customHeight="1">
      <c r="A16" s="27"/>
      <c r="B16" s="28"/>
      <c r="C16" s="320" t="s">
        <v>104</v>
      </c>
      <c r="D16" s="321"/>
      <c r="E16" s="321"/>
      <c r="F16" s="23" t="str">
        <f>IF(Sheet1!F2=2,"surge tank","ไม่มี")</f>
        <v>ไม่มี</v>
      </c>
      <c r="G16" s="23" t="s">
        <v>36</v>
      </c>
      <c r="H16" s="92" t="str">
        <f>IF(Sheet1!F2=2,Sheet1!E26,"-")</f>
        <v>-</v>
      </c>
      <c r="I16" s="11" t="s">
        <v>35</v>
      </c>
      <c r="J16" s="23" t="s">
        <v>38</v>
      </c>
      <c r="K16" s="92" t="str">
        <f>IF(Sheet1!F2=2,Sheet1!E27,"-")</f>
        <v>-</v>
      </c>
      <c r="L16" s="11" t="s">
        <v>35</v>
      </c>
      <c r="M16" s="23" t="s">
        <v>37</v>
      </c>
      <c r="N16" s="92" t="str">
        <f>IF(Sheet1!F2=2,Sheet1!E28,"-")</f>
        <v>-</v>
      </c>
      <c r="O16" s="11" t="s">
        <v>35</v>
      </c>
      <c r="P16" s="12"/>
      <c r="Q16" s="348" t="str">
        <f>IF(Sheet1!F2=2,H16*K16,"0")</f>
        <v>0</v>
      </c>
      <c r="R16" s="349"/>
      <c r="S16" s="13" t="s">
        <v>39</v>
      </c>
      <c r="T16" s="342" t="str">
        <f>IF(N16&lt;=1,10000,IF(N16&lt;=1.2,11000,IF(N16&lt;=1.4,12000,IF(N16&lt;=1.6,13000,"0"))))</f>
        <v>0</v>
      </c>
      <c r="U16" s="343"/>
      <c r="V16" s="344"/>
      <c r="W16" s="196">
        <f t="shared" si="0"/>
        <v>0</v>
      </c>
      <c r="X16" s="197"/>
      <c r="Y16" s="198"/>
    </row>
    <row r="17" spans="1:25" ht="19.5" customHeight="1">
      <c r="A17" s="27"/>
      <c r="B17" s="28"/>
      <c r="C17" s="22" t="s">
        <v>105</v>
      </c>
      <c r="D17" s="23"/>
      <c r="E17" s="23"/>
      <c r="F17" s="23"/>
      <c r="G17" s="23"/>
      <c r="H17" s="92"/>
      <c r="I17" s="11"/>
      <c r="J17" s="23"/>
      <c r="K17" s="92"/>
      <c r="L17" s="11"/>
      <c r="M17" s="23"/>
      <c r="N17" s="92"/>
      <c r="O17" s="11"/>
      <c r="P17" s="12"/>
      <c r="Q17" s="269">
        <f>Sheet1!E29</f>
        <v>5</v>
      </c>
      <c r="R17" s="270"/>
      <c r="S17" s="13" t="s">
        <v>35</v>
      </c>
      <c r="T17" s="342" t="str">
        <f>IF(Sheet1!F2=2,4500,"0")</f>
        <v>0</v>
      </c>
      <c r="U17" s="343"/>
      <c r="V17" s="344"/>
      <c r="W17" s="207">
        <f t="shared" si="0"/>
        <v>0</v>
      </c>
      <c r="X17" s="208"/>
      <c r="Y17" s="209"/>
    </row>
    <row r="18" spans="1:25" ht="19.5" customHeight="1">
      <c r="A18" s="27"/>
      <c r="B18" s="28"/>
      <c r="C18" s="360" t="s">
        <v>143</v>
      </c>
      <c r="D18" s="361"/>
      <c r="E18" s="361"/>
      <c r="F18" s="361"/>
      <c r="G18" s="361"/>
      <c r="H18" s="361"/>
      <c r="I18" s="361"/>
      <c r="J18" s="361"/>
      <c r="K18" s="92"/>
      <c r="L18" s="11"/>
      <c r="M18" s="23"/>
      <c r="N18" s="92"/>
      <c r="O18" s="11"/>
      <c r="P18" s="12"/>
      <c r="Q18" s="346">
        <f>Sheet1!E30</f>
        <v>5</v>
      </c>
      <c r="R18" s="347"/>
      <c r="S18" s="14" t="s">
        <v>35</v>
      </c>
      <c r="T18" s="342" t="str">
        <f>IF(Sheet1!F2=2,600,"0")</f>
        <v>0</v>
      </c>
      <c r="U18" s="343"/>
      <c r="V18" s="344"/>
      <c r="W18" s="207">
        <f t="shared" si="0"/>
        <v>0</v>
      </c>
      <c r="X18" s="208"/>
      <c r="Y18" s="209"/>
    </row>
    <row r="19" spans="1:25" ht="25.5" customHeight="1">
      <c r="A19" s="323"/>
      <c r="B19" s="324"/>
      <c r="C19" s="312" t="s">
        <v>126</v>
      </c>
      <c r="D19" s="313"/>
      <c r="E19" s="313"/>
      <c r="F19" s="313"/>
      <c r="G19" s="313"/>
      <c r="H19" s="313"/>
      <c r="I19" s="313"/>
      <c r="J19" s="313"/>
      <c r="K19" s="318"/>
      <c r="L19" s="318"/>
      <c r="M19" s="318"/>
      <c r="N19" s="318"/>
      <c r="O19" s="318"/>
      <c r="P19" s="319"/>
      <c r="Q19" s="213"/>
      <c r="R19" s="214"/>
      <c r="S19" s="215"/>
      <c r="T19" s="216"/>
      <c r="U19" s="217"/>
      <c r="V19" s="218"/>
      <c r="W19" s="213"/>
      <c r="X19" s="214"/>
      <c r="Y19" s="215"/>
    </row>
    <row r="20" spans="1:25" ht="25.5" customHeight="1">
      <c r="A20" s="323"/>
      <c r="B20" s="324"/>
      <c r="C20" s="312"/>
      <c r="D20" s="313"/>
      <c r="E20" s="313"/>
      <c r="F20" s="313"/>
      <c r="G20" s="313"/>
      <c r="H20" s="313"/>
      <c r="I20" s="313"/>
      <c r="J20" s="313"/>
      <c r="K20" s="318"/>
      <c r="L20" s="318"/>
      <c r="M20" s="318"/>
      <c r="N20" s="318"/>
      <c r="O20" s="318"/>
      <c r="P20" s="319"/>
      <c r="Q20" s="213"/>
      <c r="R20" s="214"/>
      <c r="S20" s="215"/>
      <c r="T20" s="216"/>
      <c r="U20" s="217"/>
      <c r="V20" s="218"/>
      <c r="W20" s="213"/>
      <c r="X20" s="214"/>
      <c r="Y20" s="215"/>
    </row>
    <row r="21" spans="1:25" ht="32.25" customHeight="1">
      <c r="A21" s="323"/>
      <c r="B21" s="324"/>
      <c r="C21" s="312"/>
      <c r="D21" s="313"/>
      <c r="E21" s="313"/>
      <c r="F21" s="313"/>
      <c r="G21" s="313"/>
      <c r="H21" s="313"/>
      <c r="I21" s="313"/>
      <c r="J21" s="313"/>
      <c r="K21" s="318"/>
      <c r="L21" s="318"/>
      <c r="M21" s="318"/>
      <c r="N21" s="318"/>
      <c r="O21" s="318"/>
      <c r="P21" s="319"/>
      <c r="Q21" s="213"/>
      <c r="R21" s="214"/>
      <c r="S21" s="215"/>
      <c r="T21" s="216"/>
      <c r="U21" s="217"/>
      <c r="V21" s="218"/>
      <c r="W21" s="213"/>
      <c r="X21" s="214"/>
      <c r="Y21" s="215"/>
    </row>
    <row r="22" spans="1:25" ht="21.75" customHeight="1">
      <c r="A22" s="27"/>
      <c r="B22" s="28"/>
      <c r="C22" s="22" t="s">
        <v>47</v>
      </c>
      <c r="D22" s="23"/>
      <c r="E22" s="23"/>
      <c r="F22" s="23"/>
      <c r="G22" s="23"/>
      <c r="H22" s="23"/>
      <c r="I22" s="23"/>
      <c r="J22" s="23"/>
      <c r="K22" s="85"/>
      <c r="L22" s="122"/>
      <c r="M22" s="123">
        <f>Q13+Q14+Q15</f>
        <v>8</v>
      </c>
      <c r="N22" s="118" t="s">
        <v>46</v>
      </c>
      <c r="O22" s="91"/>
      <c r="P22" s="35"/>
      <c r="Q22" s="32"/>
      <c r="R22" s="33"/>
      <c r="S22" s="34"/>
      <c r="T22" s="87"/>
      <c r="U22" s="87"/>
      <c r="V22" s="87"/>
      <c r="W22" s="32"/>
      <c r="X22" s="33"/>
      <c r="Y22" s="34"/>
    </row>
    <row r="23" spans="1:25" ht="38.25" customHeight="1">
      <c r="A23" s="305"/>
      <c r="B23" s="325"/>
      <c r="C23" s="307" t="s">
        <v>40</v>
      </c>
      <c r="D23" s="308"/>
      <c r="E23" s="308"/>
      <c r="F23" s="308"/>
      <c r="G23" s="308"/>
      <c r="H23" s="308"/>
      <c r="I23" s="308"/>
      <c r="J23" s="308"/>
      <c r="K23" s="308"/>
      <c r="L23" s="308"/>
      <c r="M23" s="308"/>
      <c r="N23" s="308"/>
      <c r="O23" s="308"/>
      <c r="P23" s="309"/>
      <c r="Q23" s="210"/>
      <c r="R23" s="211"/>
      <c r="S23" s="212"/>
      <c r="T23" s="219"/>
      <c r="U23" s="220"/>
      <c r="V23" s="221"/>
      <c r="W23" s="210"/>
      <c r="X23" s="211"/>
      <c r="Y23" s="212"/>
    </row>
    <row r="24" spans="1:25" ht="25.5" customHeight="1">
      <c r="A24" s="303">
        <v>2</v>
      </c>
      <c r="B24" s="322"/>
      <c r="C24" s="225" t="s">
        <v>41</v>
      </c>
      <c r="D24" s="226"/>
      <c r="E24" s="226"/>
      <c r="F24" s="226"/>
      <c r="G24" s="226"/>
      <c r="H24" s="226"/>
      <c r="I24" s="226"/>
      <c r="J24" s="9"/>
      <c r="K24" s="9"/>
      <c r="L24" s="9"/>
      <c r="M24" s="9"/>
      <c r="N24" s="9"/>
      <c r="O24" s="9"/>
      <c r="P24" s="10"/>
      <c r="Q24" s="196"/>
      <c r="R24" s="197"/>
      <c r="S24" s="198"/>
      <c r="T24" s="222"/>
      <c r="U24" s="223"/>
      <c r="V24" s="224"/>
      <c r="W24" s="196"/>
      <c r="X24" s="197"/>
      <c r="Y24" s="198"/>
    </row>
    <row r="25" spans="1:25" ht="22.5" customHeight="1">
      <c r="A25" s="323"/>
      <c r="B25" s="324"/>
      <c r="C25" s="312" t="str">
        <f>Sheet1!D34</f>
        <v>ในบ่อ กระเบื้องดินเผาสระน้ำ ขนาด 4x4 นิ้ว เลือกสีได้</v>
      </c>
      <c r="D25" s="313"/>
      <c r="E25" s="313"/>
      <c r="F25" s="313"/>
      <c r="G25" s="313"/>
      <c r="H25" s="313"/>
      <c r="I25" s="313"/>
      <c r="J25" s="313"/>
      <c r="K25" s="313"/>
      <c r="L25" s="313"/>
      <c r="M25" s="313"/>
      <c r="N25" s="313"/>
      <c r="O25" s="313"/>
      <c r="P25" s="316"/>
      <c r="Q25" s="346">
        <f>(Q13+Q14+Q15)+Sheet1!L21-((Sheet1!G23*Sheet1!G24)*2)-((Sheet1!I23*Sheet1!I24)*2)</f>
        <v>15.999999999999998</v>
      </c>
      <c r="R25" s="347"/>
      <c r="S25" s="14" t="s">
        <v>39</v>
      </c>
      <c r="T25" s="342">
        <f>VLOOKUP(C25,database!A:B,2,0)</f>
        <v>1800</v>
      </c>
      <c r="U25" s="343"/>
      <c r="V25" s="344"/>
      <c r="W25" s="207">
        <f>T25*Q25</f>
        <v>28799.999999999996</v>
      </c>
      <c r="X25" s="208"/>
      <c r="Y25" s="209"/>
    </row>
    <row r="26" spans="1:25" ht="22.5" customHeight="1">
      <c r="A26" s="27"/>
      <c r="B26" s="28"/>
      <c r="C26" s="312" t="str">
        <f>Sheet1!D35</f>
        <v>ขอบบ่อ หินทรายขัดเรียบ</v>
      </c>
      <c r="D26" s="313"/>
      <c r="E26" s="313"/>
      <c r="F26" s="313"/>
      <c r="G26" s="313"/>
      <c r="H26" s="313"/>
      <c r="I26" s="313"/>
      <c r="J26" s="313"/>
      <c r="K26" s="313"/>
      <c r="L26" s="313"/>
      <c r="M26" s="313"/>
      <c r="N26" s="313"/>
      <c r="O26" s="313"/>
      <c r="P26" s="316"/>
      <c r="Q26" s="269">
        <f>IF(AND(Sheet1!E14=TRUE,Sheet1!G14=FALSE,Sheet1!I14=FALSE,F13="ครึ่งวงกลม"),(3.14*(K13/2))+K13,IF(AND(Sheet1!E14=TRUE,Sheet1!G14=FALSE,Sheet1!I14=FALSE,F13="วงกลม"),2*3.14*(K13/2),IF(AND(Sheet1!E14=TRUE,Sheet1!G14=FALSE,Sheet1!I14=FALSE,F13="สี่เหลี่ยม"),(H13+K13)*2,"00")))</f>
        <v>12</v>
      </c>
      <c r="R26" s="270"/>
      <c r="S26" s="13" t="s">
        <v>35</v>
      </c>
      <c r="T26" s="222" t="e">
        <f>VLOOKUP(C26,database!C:D,2,0)</f>
        <v>#N/A</v>
      </c>
      <c r="U26" s="223"/>
      <c r="V26" s="224"/>
      <c r="W26" s="196" t="e">
        <f>T26*Q26</f>
        <v>#N/A</v>
      </c>
      <c r="X26" s="197"/>
      <c r="Y26" s="198"/>
    </row>
    <row r="27" spans="1:25" ht="22.5" customHeight="1">
      <c r="A27" s="305"/>
      <c r="B27" s="325"/>
      <c r="C27" s="312" t="str">
        <f>CONCATENATE(Sheet1!D36,"   สูงจากพื้น ",Sheet1!E19,"  ",Sheet1!F19)</f>
        <v>นอกบ่อ หินทรายขัดเรียบ   สูงจากพื้น 0.4  ม.</v>
      </c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6"/>
      <c r="Q27" s="269">
        <f>Q26*Sheet1!E19</f>
        <v>4.8000000000000007</v>
      </c>
      <c r="R27" s="270"/>
      <c r="S27" s="13" t="s">
        <v>39</v>
      </c>
      <c r="T27" s="222">
        <f>VLOOKUP(Sheet1!D36,database!E:F,2,0)</f>
        <v>1800</v>
      </c>
      <c r="U27" s="223"/>
      <c r="V27" s="224"/>
      <c r="W27" s="196">
        <f>T27*Q27</f>
        <v>8640.0000000000018</v>
      </c>
      <c r="X27" s="197"/>
      <c r="Y27" s="198"/>
    </row>
    <row r="28" spans="1:25" ht="21.75" customHeight="1">
      <c r="A28" s="303">
        <v>3</v>
      </c>
      <c r="B28" s="304"/>
      <c r="C28" s="310" t="s">
        <v>51</v>
      </c>
      <c r="D28" s="311"/>
      <c r="E28" s="311"/>
      <c r="F28" s="311"/>
      <c r="G28" s="311"/>
      <c r="H28" s="311"/>
      <c r="I28" s="311"/>
      <c r="J28" s="311"/>
      <c r="K28" s="37" t="str">
        <f>IF(Q12&lt;=20,"16",IF(Q12&lt;=35,"20",IF(Q12&lt;=50,"26""สอบถาม")))</f>
        <v>16</v>
      </c>
      <c r="L28" s="226" t="s">
        <v>127</v>
      </c>
      <c r="M28" s="226"/>
      <c r="N28" s="226"/>
      <c r="O28" s="226"/>
      <c r="P28" s="268"/>
      <c r="Q28" s="196">
        <v>1</v>
      </c>
      <c r="R28" s="197"/>
      <c r="S28" s="124" t="s">
        <v>96</v>
      </c>
      <c r="T28" s="222" t="str">
        <f>IF(Q12&lt;=10,"30000",IF(Q12&lt;=20,"35000",IF(Q12&lt;=30,"40000",IF(Q12&lt;=50,"45000","สอบถาม"))))</f>
        <v>30000</v>
      </c>
      <c r="U28" s="223"/>
      <c r="V28" s="224"/>
      <c r="W28" s="196">
        <f>T28*Q28</f>
        <v>30000</v>
      </c>
      <c r="X28" s="197"/>
      <c r="Y28" s="198"/>
    </row>
    <row r="29" spans="1:25" ht="21.75" customHeight="1">
      <c r="A29" s="305"/>
      <c r="B29" s="306"/>
      <c r="C29" s="307" t="s">
        <v>50</v>
      </c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9"/>
      <c r="Q29" s="114"/>
      <c r="R29" s="115"/>
      <c r="S29" s="116"/>
      <c r="T29" s="88"/>
      <c r="U29" s="89"/>
      <c r="V29" s="90"/>
      <c r="W29" s="29"/>
      <c r="X29" s="30"/>
      <c r="Y29" s="31"/>
    </row>
    <row r="30" spans="1:25" ht="22.5" customHeight="1">
      <c r="A30" s="303">
        <v>4</v>
      </c>
      <c r="B30" s="322"/>
      <c r="C30" s="340" t="str">
        <f>CONCATENATE("งานระบบไฟ เดินสายติดตั้งตู้ควบคุม 1 จุด")</f>
        <v>งานระบบไฟ เดินสายติดตั้งตู้ควบคุม 1 จุด</v>
      </c>
      <c r="D30" s="341"/>
      <c r="E30" s="341"/>
      <c r="F30" s="341"/>
      <c r="G30" s="341"/>
      <c r="H30" s="341"/>
      <c r="I30" s="341"/>
      <c r="J30" s="341"/>
      <c r="K30" s="341"/>
      <c r="L30" s="341"/>
      <c r="M30" s="132">
        <f>Sheet1!E50</f>
        <v>2</v>
      </c>
      <c r="N30" s="133" t="s">
        <v>146</v>
      </c>
      <c r="O30" s="130"/>
      <c r="P30" s="131"/>
      <c r="Q30" s="213">
        <v>1</v>
      </c>
      <c r="R30" s="214"/>
      <c r="S30" s="36" t="s">
        <v>144</v>
      </c>
      <c r="T30" s="216" t="str">
        <f>IF(M30=1,"8000",IF(M30=2,"11000",IF(M30=3,"14000","สอบถาม")))</f>
        <v>11000</v>
      </c>
      <c r="U30" s="217"/>
      <c r="V30" s="218"/>
      <c r="W30" s="196">
        <f>T30*1</f>
        <v>11000</v>
      </c>
      <c r="X30" s="197"/>
      <c r="Y30" s="198"/>
    </row>
    <row r="31" spans="1:25" ht="26.25" customHeight="1">
      <c r="A31" s="323"/>
      <c r="B31" s="324"/>
      <c r="C31" s="334" t="s">
        <v>145</v>
      </c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6"/>
      <c r="Q31" s="213"/>
      <c r="R31" s="214"/>
      <c r="S31" s="215"/>
      <c r="T31" s="216"/>
      <c r="U31" s="217"/>
      <c r="V31" s="218"/>
      <c r="W31" s="213"/>
      <c r="X31" s="214"/>
      <c r="Y31" s="215"/>
    </row>
    <row r="32" spans="1:25" ht="26.25" customHeight="1">
      <c r="A32" s="323"/>
      <c r="B32" s="324"/>
      <c r="C32" s="334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6"/>
      <c r="Q32" s="213"/>
      <c r="R32" s="214"/>
      <c r="S32" s="215"/>
      <c r="T32" s="216"/>
      <c r="U32" s="217"/>
      <c r="V32" s="218"/>
      <c r="W32" s="213"/>
      <c r="X32" s="214"/>
      <c r="Y32" s="215"/>
    </row>
    <row r="33" spans="1:30" ht="29.25" customHeight="1">
      <c r="A33" s="305"/>
      <c r="B33" s="325"/>
      <c r="C33" s="337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9"/>
      <c r="Q33" s="210"/>
      <c r="R33" s="211"/>
      <c r="S33" s="212"/>
      <c r="T33" s="219"/>
      <c r="U33" s="220"/>
      <c r="V33" s="221"/>
      <c r="W33" s="210"/>
      <c r="X33" s="211"/>
      <c r="Y33" s="212"/>
    </row>
    <row r="34" spans="1:30" ht="36" customHeight="1">
      <c r="A34" s="333">
        <v>5</v>
      </c>
      <c r="B34" s="327"/>
      <c r="C34" s="251" t="s">
        <v>43</v>
      </c>
      <c r="D34" s="252"/>
      <c r="E34" s="252"/>
      <c r="F34" s="252"/>
      <c r="G34" s="252"/>
      <c r="H34" s="252"/>
      <c r="I34" s="252"/>
      <c r="J34" s="252"/>
      <c r="K34" s="252"/>
      <c r="L34" s="252"/>
      <c r="M34" s="252"/>
      <c r="N34" s="252"/>
      <c r="O34" s="252"/>
      <c r="P34" s="253"/>
      <c r="Q34" s="207" t="str">
        <f>IF(Q12&lt;=30,"1",IF(Q12&lt;=60,"2","สอบถาม"))</f>
        <v>1</v>
      </c>
      <c r="R34" s="208"/>
      <c r="S34" s="86" t="s">
        <v>20</v>
      </c>
      <c r="T34" s="222">
        <v>6000</v>
      </c>
      <c r="U34" s="223"/>
      <c r="V34" s="224"/>
      <c r="W34" s="196">
        <f>T34*Q34</f>
        <v>6000</v>
      </c>
      <c r="X34" s="197"/>
      <c r="Y34" s="198"/>
    </row>
    <row r="35" spans="1:30" ht="21" customHeight="1">
      <c r="A35" s="11"/>
      <c r="B35" s="11"/>
      <c r="C35" s="11"/>
      <c r="D35" s="11"/>
      <c r="E35" s="11"/>
      <c r="F35" s="11"/>
      <c r="G35" s="11"/>
      <c r="H35" s="11"/>
      <c r="I35" s="11"/>
      <c r="J35" s="199" t="s">
        <v>14</v>
      </c>
      <c r="K35" s="200"/>
      <c r="L35" s="200"/>
      <c r="M35" s="200"/>
      <c r="N35" s="200"/>
      <c r="O35" s="200"/>
      <c r="P35" s="200"/>
      <c r="Q35" s="210"/>
      <c r="R35" s="211"/>
      <c r="S35" s="211"/>
      <c r="T35" s="211"/>
      <c r="U35" s="211"/>
      <c r="V35" s="211"/>
      <c r="W35" s="357" t="e">
        <f>SUM(W12:Y34)</f>
        <v>#N/A</v>
      </c>
      <c r="X35" s="357"/>
      <c r="Y35" s="358"/>
      <c r="Z35" s="51"/>
    </row>
    <row r="36" spans="1:30" ht="21" customHeight="1">
      <c r="A36" s="112">
        <v>3</v>
      </c>
      <c r="B36" s="11"/>
      <c r="C36" s="11"/>
      <c r="D36" s="11"/>
      <c r="E36" s="11"/>
      <c r="F36" s="11"/>
      <c r="G36" s="11"/>
      <c r="H36" s="11"/>
      <c r="I36" s="11"/>
      <c r="J36" s="199" t="str">
        <f>IF(A36=1,"VAT 7%",IF(A36=2,"ส่วนลดพิเศษ","อื่นๆ"))</f>
        <v>อื่นๆ</v>
      </c>
      <c r="K36" s="200"/>
      <c r="L36" s="200"/>
      <c r="M36" s="200"/>
      <c r="N36" s="200"/>
      <c r="O36" s="200"/>
      <c r="P36" s="200"/>
      <c r="Q36" s="207"/>
      <c r="R36" s="208"/>
      <c r="S36" s="208"/>
      <c r="T36" s="208"/>
      <c r="U36" s="208"/>
      <c r="V36" s="208"/>
      <c r="W36" s="194">
        <f>IF(J36="vat 7%",W35*0.7,IF(J36="ส่วนลดพิเศษ",0,0))</f>
        <v>0</v>
      </c>
      <c r="X36" s="194"/>
      <c r="Y36" s="195"/>
      <c r="Z36" s="129"/>
      <c r="AB36" s="25"/>
      <c r="AC36" s="25"/>
      <c r="AD36" s="25"/>
    </row>
    <row r="37" spans="1:30" ht="21" customHeight="1">
      <c r="A37" s="11"/>
      <c r="B37" s="11"/>
      <c r="C37" s="11"/>
      <c r="D37" s="11"/>
      <c r="E37" s="11"/>
      <c r="F37" s="11"/>
      <c r="G37" s="11"/>
      <c r="H37" s="11"/>
      <c r="I37" s="11"/>
      <c r="J37" s="201" t="s">
        <v>42</v>
      </c>
      <c r="K37" s="202"/>
      <c r="L37" s="202"/>
      <c r="M37" s="202"/>
      <c r="N37" s="202"/>
      <c r="O37" s="202"/>
      <c r="P37" s="202"/>
      <c r="Q37" s="196"/>
      <c r="R37" s="197"/>
      <c r="S37" s="197"/>
      <c r="T37" s="197"/>
      <c r="U37" s="197"/>
      <c r="V37" s="197"/>
      <c r="W37" s="289" t="e">
        <f>SUM(W35:Y36)</f>
        <v>#N/A</v>
      </c>
      <c r="X37" s="289"/>
      <c r="Y37" s="290"/>
      <c r="Z37" s="25"/>
    </row>
    <row r="38" spans="1:30" ht="29.25" customHeight="1">
      <c r="C38" s="350" t="s">
        <v>15</v>
      </c>
      <c r="D38" s="350"/>
      <c r="E38" s="350"/>
      <c r="F38" s="351" t="e">
        <f>BAHTTEXT(W37)</f>
        <v>#N/A</v>
      </c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2"/>
      <c r="T38" s="352"/>
      <c r="U38" s="352"/>
      <c r="V38" s="352"/>
      <c r="W38" s="352"/>
      <c r="X38" s="352"/>
      <c r="Y38" s="353"/>
      <c r="Z38" s="51"/>
    </row>
    <row r="39" spans="1:30" ht="186.75" customHeight="1">
      <c r="C39" s="354" t="s">
        <v>136</v>
      </c>
      <c r="D39" s="355"/>
      <c r="E39" s="355"/>
      <c r="F39" s="355"/>
      <c r="G39" s="355"/>
      <c r="H39" s="355"/>
      <c r="I39" s="355"/>
      <c r="J39" s="355"/>
      <c r="K39" s="355"/>
      <c r="L39" s="355"/>
      <c r="M39" s="355"/>
      <c r="N39" s="355"/>
      <c r="O39" s="355"/>
      <c r="P39" s="355"/>
      <c r="Q39" s="355"/>
      <c r="R39" s="355"/>
      <c r="S39" s="355"/>
      <c r="T39" s="355"/>
      <c r="U39" s="355"/>
      <c r="V39" s="355"/>
      <c r="W39" s="355"/>
      <c r="X39" s="355"/>
      <c r="Y39" s="356"/>
      <c r="Z39" s="26"/>
    </row>
    <row r="40" spans="1:30">
      <c r="C40" s="238" t="s">
        <v>16</v>
      </c>
      <c r="D40" s="239"/>
      <c r="E40" s="239"/>
      <c r="F40" s="239"/>
      <c r="G40" s="239"/>
      <c r="H40" s="239"/>
      <c r="I40" s="239"/>
      <c r="J40" s="239"/>
      <c r="K40" s="239"/>
      <c r="L40" s="239"/>
      <c r="M40" s="239"/>
      <c r="N40" s="239"/>
      <c r="O40" s="120" t="s">
        <v>17</v>
      </c>
      <c r="P40" s="120"/>
      <c r="Q40" s="120"/>
      <c r="R40" s="120"/>
      <c r="S40" s="120"/>
      <c r="T40" s="120"/>
      <c r="U40" s="120"/>
      <c r="V40" s="120"/>
      <c r="W40" s="120"/>
      <c r="X40" s="120"/>
      <c r="Y40" s="128"/>
    </row>
    <row r="41" spans="1:30" ht="50.25" customHeight="1">
      <c r="C41" s="242" t="s">
        <v>141</v>
      </c>
      <c r="D41" s="243"/>
      <c r="E41" s="243"/>
      <c r="F41" s="243"/>
      <c r="G41" s="243"/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3"/>
      <c r="S41" s="243"/>
      <c r="T41" s="243"/>
      <c r="U41" s="243"/>
      <c r="V41" s="243"/>
      <c r="W41" s="243"/>
      <c r="X41" s="243"/>
      <c r="Y41" s="244"/>
    </row>
    <row r="42" spans="1:30" ht="21.75" customHeight="1">
      <c r="C42" s="233" t="s">
        <v>32</v>
      </c>
      <c r="D42" s="234"/>
      <c r="E42" s="234"/>
      <c r="F42" s="234"/>
      <c r="G42" s="234"/>
      <c r="H42" s="234"/>
      <c r="I42" s="234"/>
      <c r="J42" s="234"/>
      <c r="K42" s="234"/>
      <c r="L42" s="234"/>
      <c r="M42" s="248" t="e">
        <f>W37*0.4</f>
        <v>#N/A</v>
      </c>
      <c r="N42" s="248"/>
      <c r="O42" s="248"/>
      <c r="P42" s="73" t="s">
        <v>34</v>
      </c>
      <c r="Q42" s="4"/>
      <c r="R42" s="4"/>
      <c r="S42" s="73"/>
      <c r="T42" s="4"/>
      <c r="U42" s="4"/>
      <c r="V42" s="4"/>
      <c r="W42" s="4"/>
      <c r="X42" s="4"/>
      <c r="Y42" s="5"/>
    </row>
    <row r="43" spans="1:30" ht="21.75" customHeight="1">
      <c r="C43" s="231" t="s">
        <v>137</v>
      </c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49" t="e">
        <f>W37*0.4</f>
        <v>#N/A</v>
      </c>
      <c r="U43" s="249"/>
      <c r="V43" s="249"/>
      <c r="W43" s="73" t="s">
        <v>34</v>
      </c>
      <c r="X43" s="73"/>
      <c r="Y43" s="6"/>
    </row>
    <row r="44" spans="1:30" ht="21.75" customHeight="1">
      <c r="C44" s="301" t="s">
        <v>33</v>
      </c>
      <c r="D44" s="302"/>
      <c r="E44" s="302"/>
      <c r="F44" s="302"/>
      <c r="G44" s="302"/>
      <c r="H44" s="302"/>
      <c r="I44" s="302"/>
      <c r="J44" s="302"/>
      <c r="K44" s="302"/>
      <c r="L44" s="302"/>
      <c r="M44" s="248" t="e">
        <f>W37*0.2</f>
        <v>#N/A</v>
      </c>
      <c r="N44" s="248"/>
      <c r="O44" s="248"/>
      <c r="P44" s="7" t="s">
        <v>34</v>
      </c>
      <c r="Q44" s="7"/>
      <c r="R44" s="7"/>
      <c r="S44" s="7"/>
      <c r="T44" s="7"/>
      <c r="U44" s="7"/>
      <c r="V44" s="7"/>
      <c r="W44" s="7"/>
      <c r="X44" s="7"/>
      <c r="Y44" s="8"/>
    </row>
    <row r="45" spans="1:30" ht="15.6">
      <c r="C45" s="245" t="s">
        <v>18</v>
      </c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6"/>
      <c r="Q45" s="246"/>
      <c r="R45" s="246"/>
      <c r="S45" s="246"/>
      <c r="T45" s="246"/>
      <c r="U45" s="246"/>
      <c r="V45" s="246"/>
      <c r="W45" s="246"/>
      <c r="X45" s="246"/>
      <c r="Y45" s="247"/>
    </row>
    <row r="46" spans="1:30">
      <c r="C46" s="52" t="s">
        <v>19</v>
      </c>
      <c r="D46" s="53"/>
      <c r="E46" s="53"/>
      <c r="F46" s="53"/>
      <c r="G46" s="250" t="s">
        <v>88</v>
      </c>
      <c r="H46" s="250"/>
      <c r="I46" s="53" t="s">
        <v>20</v>
      </c>
      <c r="J46" s="53"/>
      <c r="K46" s="53"/>
      <c r="L46" s="53"/>
      <c r="M46" s="53"/>
      <c r="N46" s="53"/>
      <c r="O46" s="53"/>
      <c r="P46" s="53"/>
      <c r="Q46" s="53"/>
      <c r="R46" s="53"/>
      <c r="S46" s="45"/>
      <c r="T46" s="53"/>
      <c r="U46" s="53"/>
      <c r="V46" s="53"/>
      <c r="W46" s="53"/>
      <c r="X46" s="53"/>
      <c r="Y46" s="54"/>
    </row>
    <row r="47" spans="1:30">
      <c r="C47" s="55"/>
      <c r="D47" s="51" t="s">
        <v>21</v>
      </c>
      <c r="E47" s="51"/>
      <c r="F47" s="51"/>
      <c r="G47" s="127"/>
      <c r="H47" s="127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6"/>
      <c r="T47" s="51"/>
      <c r="U47" s="51"/>
      <c r="V47" s="51"/>
      <c r="W47" s="51"/>
      <c r="X47" s="51"/>
      <c r="Y47" s="57"/>
    </row>
    <row r="48" spans="1:30">
      <c r="C48" s="59" t="s">
        <v>22</v>
      </c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6"/>
      <c r="T48" s="51"/>
      <c r="U48" s="51"/>
      <c r="V48" s="51"/>
      <c r="W48" s="51"/>
      <c r="X48" s="51"/>
      <c r="Y48" s="57"/>
    </row>
    <row r="49" spans="3:25">
      <c r="C49" s="55"/>
      <c r="D49" s="51" t="s">
        <v>23</v>
      </c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6"/>
      <c r="T49" s="51"/>
      <c r="U49" s="51"/>
      <c r="V49" s="51"/>
      <c r="W49" s="51"/>
      <c r="X49" s="51"/>
      <c r="Y49" s="57"/>
    </row>
    <row r="50" spans="3:25">
      <c r="C50" s="55"/>
      <c r="D50" s="51" t="s">
        <v>45</v>
      </c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6"/>
      <c r="T50" s="51"/>
      <c r="U50" s="51"/>
      <c r="V50" s="51"/>
      <c r="W50" s="51"/>
      <c r="X50" s="51"/>
      <c r="Y50" s="57"/>
    </row>
    <row r="51" spans="3:25">
      <c r="C51" s="55"/>
      <c r="D51" s="51" t="s">
        <v>142</v>
      </c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6"/>
      <c r="T51" s="51"/>
      <c r="U51" s="51"/>
      <c r="V51" s="51"/>
      <c r="W51" s="51"/>
      <c r="X51" s="51"/>
      <c r="Y51" s="57"/>
    </row>
    <row r="52" spans="3:25">
      <c r="C52" s="60" t="s">
        <v>24</v>
      </c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6"/>
      <c r="T52" s="51"/>
      <c r="U52" s="51"/>
      <c r="V52" s="51"/>
      <c r="W52" s="51"/>
      <c r="X52" s="51"/>
      <c r="Y52" s="57"/>
    </row>
    <row r="53" spans="3:25" ht="14.25" customHeight="1">
      <c r="C53" s="58"/>
      <c r="D53" s="229" t="s">
        <v>138</v>
      </c>
      <c r="E53" s="229"/>
      <c r="F53" s="229"/>
      <c r="G53" s="229"/>
      <c r="H53" s="229"/>
      <c r="I53" s="229"/>
      <c r="J53" s="229"/>
      <c r="K53" s="229"/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119"/>
    </row>
    <row r="54" spans="3:25">
      <c r="C54" s="48"/>
      <c r="D54" s="359"/>
      <c r="E54" s="359"/>
      <c r="F54" s="359"/>
      <c r="G54" s="359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50"/>
    </row>
    <row r="55" spans="3:25">
      <c r="S55" s="47"/>
    </row>
    <row r="56" spans="3:25">
      <c r="D56" s="41" t="s">
        <v>26</v>
      </c>
      <c r="S56" s="47"/>
    </row>
    <row r="57" spans="3:25">
      <c r="S57" s="47"/>
    </row>
    <row r="58" spans="3:25">
      <c r="S58" s="47"/>
    </row>
    <row r="59" spans="3:25">
      <c r="S59" s="47"/>
    </row>
    <row r="60" spans="3:25">
      <c r="D60" s="61"/>
      <c r="S60" s="47"/>
    </row>
    <row r="61" spans="3:25">
      <c r="D61" s="61"/>
      <c r="S61" s="47"/>
    </row>
    <row r="62" spans="3:25">
      <c r="D62" s="61" t="s">
        <v>27</v>
      </c>
      <c r="N62" s="61" t="s">
        <v>27</v>
      </c>
      <c r="P62" s="47"/>
    </row>
    <row r="63" spans="3:25">
      <c r="P63" s="47"/>
    </row>
    <row r="64" spans="3:25">
      <c r="C64" s="41" t="s">
        <v>28</v>
      </c>
      <c r="D64" s="61"/>
      <c r="M64" s="41" t="s">
        <v>29</v>
      </c>
      <c r="P64" s="47"/>
    </row>
    <row r="65" spans="3:22">
      <c r="P65" s="47"/>
    </row>
    <row r="66" spans="3:22">
      <c r="D66" s="41" t="s">
        <v>140</v>
      </c>
      <c r="E66" s="126" t="str">
        <f>Sheet1!D9</f>
        <v>ชยานิษฐ์  โรจน์อัครนิธิ</v>
      </c>
      <c r="F66" s="126"/>
      <c r="G66" s="126"/>
      <c r="H66" s="126"/>
      <c r="I66" s="41" t="s">
        <v>139</v>
      </c>
      <c r="N66" s="41" t="s">
        <v>140</v>
      </c>
      <c r="O66" s="126" t="str">
        <f>Sheet1!D4</f>
        <v>sas</v>
      </c>
      <c r="P66" s="126"/>
      <c r="Q66" s="126"/>
      <c r="R66" s="126"/>
      <c r="V66" s="41" t="s">
        <v>139</v>
      </c>
    </row>
    <row r="67" spans="3:22">
      <c r="P67" s="47"/>
    </row>
    <row r="68" spans="3:22">
      <c r="C68" s="41" t="s">
        <v>30</v>
      </c>
      <c r="M68" s="41" t="s">
        <v>31</v>
      </c>
      <c r="P68" s="47"/>
    </row>
  </sheetData>
  <mergeCells count="147">
    <mergeCell ref="D53:X54"/>
    <mergeCell ref="C18:J18"/>
    <mergeCell ref="C30:L30"/>
    <mergeCell ref="C31:P33"/>
    <mergeCell ref="T23:V23"/>
    <mergeCell ref="W23:Y23"/>
    <mergeCell ref="C26:P26"/>
    <mergeCell ref="Q26:R26"/>
    <mergeCell ref="J37:P37"/>
    <mergeCell ref="Q37:S37"/>
    <mergeCell ref="T37:V37"/>
    <mergeCell ref="W37:Y37"/>
    <mergeCell ref="Q34:R34"/>
    <mergeCell ref="W14:Y14"/>
    <mergeCell ref="T15:V15"/>
    <mergeCell ref="W15:Y15"/>
    <mergeCell ref="Q19:S19"/>
    <mergeCell ref="T19:V19"/>
    <mergeCell ref="W19:Y19"/>
    <mergeCell ref="A21:B21"/>
    <mergeCell ref="Q21:S21"/>
    <mergeCell ref="T21:V21"/>
    <mergeCell ref="W21:Y21"/>
    <mergeCell ref="A25:B25"/>
    <mergeCell ref="T25:V25"/>
    <mergeCell ref="W25:Y25"/>
    <mergeCell ref="A23:B23"/>
    <mergeCell ref="A20:B20"/>
    <mergeCell ref="W20:Y20"/>
    <mergeCell ref="T24:V24"/>
    <mergeCell ref="W24:Y24"/>
    <mergeCell ref="W32:Y32"/>
    <mergeCell ref="A33:B33"/>
    <mergeCell ref="Q33:S33"/>
    <mergeCell ref="T33:V33"/>
    <mergeCell ref="W33:Y33"/>
    <mergeCell ref="T26:V26"/>
    <mergeCell ref="W26:Y26"/>
    <mergeCell ref="C27:P27"/>
    <mergeCell ref="Q27:R27"/>
    <mergeCell ref="T27:V27"/>
    <mergeCell ref="W27:Y27"/>
    <mergeCell ref="C23:P23"/>
    <mergeCell ref="Q23:S23"/>
    <mergeCell ref="A24:B24"/>
    <mergeCell ref="C24:I24"/>
    <mergeCell ref="Q24:S24"/>
    <mergeCell ref="C25:P25"/>
    <mergeCell ref="Q25:R25"/>
    <mergeCell ref="A27:B27"/>
    <mergeCell ref="A32:B32"/>
    <mergeCell ref="Q32:S32"/>
    <mergeCell ref="A30:B30"/>
    <mergeCell ref="Q30:R30"/>
    <mergeCell ref="T30:V30"/>
    <mergeCell ref="W30:Y30"/>
    <mergeCell ref="Q31:S31"/>
    <mergeCell ref="T28:V28"/>
    <mergeCell ref="W28:Y28"/>
    <mergeCell ref="A31:B31"/>
    <mergeCell ref="T31:V31"/>
    <mergeCell ref="W31:Y31"/>
    <mergeCell ref="A28:B29"/>
    <mergeCell ref="C28:J28"/>
    <mergeCell ref="L28:P28"/>
    <mergeCell ref="C29:P29"/>
    <mergeCell ref="Q28:R28"/>
    <mergeCell ref="C19:P21"/>
    <mergeCell ref="A12:B12"/>
    <mergeCell ref="C12:P12"/>
    <mergeCell ref="Q12:R12"/>
    <mergeCell ref="T12:V12"/>
    <mergeCell ref="A19:B19"/>
    <mergeCell ref="T14:V14"/>
    <mergeCell ref="Q20:S20"/>
    <mergeCell ref="T20:V20"/>
    <mergeCell ref="W11:Y11"/>
    <mergeCell ref="D8:F8"/>
    <mergeCell ref="G8:H8"/>
    <mergeCell ref="I8:P8"/>
    <mergeCell ref="Q8:S8"/>
    <mergeCell ref="T8:Y8"/>
    <mergeCell ref="C14:E14"/>
    <mergeCell ref="Q14:R14"/>
    <mergeCell ref="C15:E15"/>
    <mergeCell ref="Q15:R15"/>
    <mergeCell ref="A1:D3"/>
    <mergeCell ref="E1:Y1"/>
    <mergeCell ref="E2:Y2"/>
    <mergeCell ref="A4:Y4"/>
    <mergeCell ref="A5:C5"/>
    <mergeCell ref="D5:P5"/>
    <mergeCell ref="Q5:U5"/>
    <mergeCell ref="V5:Y5"/>
    <mergeCell ref="D6:P7"/>
    <mergeCell ref="T34:V34"/>
    <mergeCell ref="T32:V32"/>
    <mergeCell ref="W34:Y34"/>
    <mergeCell ref="A6:C7"/>
    <mergeCell ref="Q6:S6"/>
    <mergeCell ref="T6:Y6"/>
    <mergeCell ref="Q7:S7"/>
    <mergeCell ref="T7:Y7"/>
    <mergeCell ref="W12:Y12"/>
    <mergeCell ref="A13:B13"/>
    <mergeCell ref="T13:V13"/>
    <mergeCell ref="C13:E13"/>
    <mergeCell ref="Q13:R13"/>
    <mergeCell ref="W13:Y13"/>
    <mergeCell ref="A8:C8"/>
    <mergeCell ref="A11:B11"/>
    <mergeCell ref="C11:P11"/>
    <mergeCell ref="Q11:S11"/>
    <mergeCell ref="T11:V11"/>
    <mergeCell ref="C34:P34"/>
    <mergeCell ref="A34:B34"/>
    <mergeCell ref="Q35:S35"/>
    <mergeCell ref="T35:V35"/>
    <mergeCell ref="W35:Y35"/>
    <mergeCell ref="J36:P36"/>
    <mergeCell ref="Q36:S36"/>
    <mergeCell ref="T36:V36"/>
    <mergeCell ref="W36:Y36"/>
    <mergeCell ref="C44:L44"/>
    <mergeCell ref="M44:O44"/>
    <mergeCell ref="C45:Y45"/>
    <mergeCell ref="G46:H46"/>
    <mergeCell ref="C16:E16"/>
    <mergeCell ref="Q16:R16"/>
    <mergeCell ref="T16:V16"/>
    <mergeCell ref="W16:Y16"/>
    <mergeCell ref="Q17:R17"/>
    <mergeCell ref="Q18:R18"/>
    <mergeCell ref="T17:V17"/>
    <mergeCell ref="T18:V18"/>
    <mergeCell ref="W17:Y17"/>
    <mergeCell ref="W18:Y18"/>
    <mergeCell ref="C38:E38"/>
    <mergeCell ref="F38:Y38"/>
    <mergeCell ref="C39:Y39"/>
    <mergeCell ref="C40:N40"/>
    <mergeCell ref="C41:Y41"/>
    <mergeCell ref="C42:L42"/>
    <mergeCell ref="M42:O42"/>
    <mergeCell ref="C43:S43"/>
    <mergeCell ref="T43:V43"/>
    <mergeCell ref="J35:P35"/>
  </mergeCells>
  <pageMargins left="0.25" right="0.25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2" r:id="rId4" name="Option Button 10">
              <controlPr defaultSize="0" print="0" autoFill="0" autoLine="0" autoPict="0">
                <anchor moveWithCells="1" sizeWithCells="1">
                  <from>
                    <xdr:col>0</xdr:col>
                    <xdr:colOff>30480</xdr:colOff>
                    <xdr:row>35</xdr:row>
                    <xdr:rowOff>38100</xdr:rowOff>
                  </from>
                  <to>
                    <xdr:col>3</xdr:col>
                    <xdr:colOff>99060</xdr:colOff>
                    <xdr:row>35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5" name="Option Button 11">
              <controlPr defaultSize="0" print="0" autoFill="0" autoLine="0" autoPict="0">
                <anchor moveWithCells="1" sizeWithCells="1">
                  <from>
                    <xdr:col>3</xdr:col>
                    <xdr:colOff>76200</xdr:colOff>
                    <xdr:row>35</xdr:row>
                    <xdr:rowOff>22860</xdr:rowOff>
                  </from>
                  <to>
                    <xdr:col>6</xdr:col>
                    <xdr:colOff>38100</xdr:colOff>
                    <xdr:row>35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6" name="Option Button 12">
              <controlPr defaultSize="0" print="0" autoFill="0" autoLine="0" autoPict="0">
                <anchor moveWithCells="1" sizeWithCells="1">
                  <from>
                    <xdr:col>6</xdr:col>
                    <xdr:colOff>60960</xdr:colOff>
                    <xdr:row>35</xdr:row>
                    <xdr:rowOff>7620</xdr:rowOff>
                  </from>
                  <to>
                    <xdr:col>8</xdr:col>
                    <xdr:colOff>160020</xdr:colOff>
                    <xdr:row>35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13"/>
  <sheetViews>
    <sheetView zoomScale="70" zoomScaleNormal="70" workbookViewId="0">
      <selection activeCell="M1" sqref="M1"/>
    </sheetView>
  </sheetViews>
  <sheetFormatPr defaultRowHeight="14.4"/>
  <cols>
    <col min="1" max="1" width="41.88671875" bestFit="1" customWidth="1"/>
    <col min="3" max="3" width="34" customWidth="1"/>
    <col min="5" max="5" width="31.33203125" customWidth="1"/>
    <col min="9" max="9" width="28.6640625" bestFit="1" customWidth="1"/>
    <col min="11" max="11" width="37.109375" bestFit="1" customWidth="1"/>
    <col min="13" max="13" width="36.21875" bestFit="1" customWidth="1"/>
  </cols>
  <sheetData>
    <row r="1" spans="1:14">
      <c r="A1" s="43" t="s">
        <v>52</v>
      </c>
      <c r="B1" s="43">
        <v>0</v>
      </c>
      <c r="C1" s="39" t="s">
        <v>53</v>
      </c>
      <c r="D1" s="40">
        <v>0</v>
      </c>
      <c r="E1" s="43" t="s">
        <v>54</v>
      </c>
      <c r="F1" s="44">
        <v>0</v>
      </c>
      <c r="G1" t="s">
        <v>98</v>
      </c>
      <c r="H1" t="s">
        <v>120</v>
      </c>
      <c r="I1" s="43" t="s">
        <v>134</v>
      </c>
      <c r="J1" s="44"/>
      <c r="K1" s="39" t="s">
        <v>162</v>
      </c>
      <c r="L1" s="40">
        <v>0</v>
      </c>
      <c r="M1" s="43" t="s">
        <v>54</v>
      </c>
      <c r="N1" s="44">
        <v>0</v>
      </c>
    </row>
    <row r="2" spans="1:14" ht="19.5" customHeight="1">
      <c r="A2" s="43" t="s">
        <v>172</v>
      </c>
      <c r="B2" s="43">
        <v>1800</v>
      </c>
      <c r="C2" s="39" t="s">
        <v>175</v>
      </c>
      <c r="D2" s="40">
        <v>400</v>
      </c>
      <c r="E2" s="43" t="s">
        <v>176</v>
      </c>
      <c r="F2" s="44">
        <v>1800</v>
      </c>
      <c r="G2" t="s">
        <v>99</v>
      </c>
      <c r="H2" t="s">
        <v>94</v>
      </c>
      <c r="I2" s="43" t="s">
        <v>130</v>
      </c>
      <c r="J2" s="44">
        <v>7000</v>
      </c>
      <c r="K2" s="39" t="s">
        <v>175</v>
      </c>
      <c r="L2" s="40">
        <v>400</v>
      </c>
      <c r="M2" s="43" t="s">
        <v>176</v>
      </c>
      <c r="N2" s="44">
        <v>1800</v>
      </c>
    </row>
    <row r="3" spans="1:14" ht="19.5" customHeight="1">
      <c r="A3" s="43" t="s">
        <v>55</v>
      </c>
      <c r="B3" s="43">
        <v>600</v>
      </c>
      <c r="C3" s="39" t="s">
        <v>57</v>
      </c>
      <c r="D3" s="40">
        <v>300</v>
      </c>
      <c r="E3" s="43" t="s">
        <v>61</v>
      </c>
      <c r="F3" s="44">
        <v>600</v>
      </c>
      <c r="G3" t="s">
        <v>100</v>
      </c>
      <c r="I3" s="43" t="s">
        <v>131</v>
      </c>
      <c r="J3" s="44">
        <v>6500</v>
      </c>
      <c r="K3" s="39" t="s">
        <v>57</v>
      </c>
      <c r="L3" s="40">
        <v>300</v>
      </c>
      <c r="M3" s="43" t="s">
        <v>61</v>
      </c>
      <c r="N3" s="44">
        <v>600</v>
      </c>
    </row>
    <row r="4" spans="1:14" ht="19.5" customHeight="1">
      <c r="A4" s="43" t="s">
        <v>184</v>
      </c>
      <c r="B4" s="43">
        <v>1000</v>
      </c>
      <c r="C4" s="39" t="s">
        <v>58</v>
      </c>
      <c r="D4" s="164">
        <v>500</v>
      </c>
      <c r="E4" s="43" t="s">
        <v>62</v>
      </c>
      <c r="F4" s="62">
        <v>1000</v>
      </c>
      <c r="G4" t="s">
        <v>101</v>
      </c>
      <c r="I4" s="43" t="s">
        <v>132</v>
      </c>
      <c r="J4" s="44">
        <v>6500</v>
      </c>
      <c r="K4" s="39" t="s">
        <v>58</v>
      </c>
      <c r="L4" s="164">
        <v>500</v>
      </c>
      <c r="M4" s="43" t="s">
        <v>62</v>
      </c>
      <c r="N4" s="62">
        <v>1000</v>
      </c>
    </row>
    <row r="5" spans="1:14" ht="19.5" customHeight="1">
      <c r="A5" s="43" t="s">
        <v>56</v>
      </c>
      <c r="B5" s="43">
        <v>2300</v>
      </c>
      <c r="C5" s="39" t="s">
        <v>124</v>
      </c>
      <c r="D5" s="165">
        <v>2000</v>
      </c>
      <c r="E5" s="43" t="s">
        <v>63</v>
      </c>
      <c r="F5" s="44">
        <v>4000</v>
      </c>
      <c r="I5" s="43" t="s">
        <v>133</v>
      </c>
      <c r="J5" s="44">
        <v>7000</v>
      </c>
      <c r="K5" s="39" t="s">
        <v>124</v>
      </c>
      <c r="L5" s="165">
        <v>2000</v>
      </c>
      <c r="M5" s="43" t="s">
        <v>63</v>
      </c>
      <c r="N5" s="44">
        <v>4000</v>
      </c>
    </row>
    <row r="6" spans="1:14" ht="19.5" customHeight="1">
      <c r="A6" s="43" t="s">
        <v>173</v>
      </c>
      <c r="B6" s="159">
        <v>2300</v>
      </c>
      <c r="C6" s="39" t="s">
        <v>125</v>
      </c>
      <c r="D6" s="165">
        <v>3000</v>
      </c>
      <c r="E6" s="43" t="s">
        <v>64</v>
      </c>
      <c r="F6" s="44">
        <v>1600</v>
      </c>
      <c r="K6" s="39" t="s">
        <v>125</v>
      </c>
      <c r="L6" s="165">
        <v>3000</v>
      </c>
      <c r="M6" s="43" t="s">
        <v>64</v>
      </c>
      <c r="N6" s="44">
        <v>1600</v>
      </c>
    </row>
    <row r="7" spans="1:14" ht="19.5" customHeight="1">
      <c r="A7" s="43" t="s">
        <v>174</v>
      </c>
      <c r="B7" s="159">
        <v>2700</v>
      </c>
      <c r="C7" s="39" t="s">
        <v>59</v>
      </c>
      <c r="D7" s="165">
        <v>600</v>
      </c>
      <c r="E7" s="43" t="s">
        <v>65</v>
      </c>
      <c r="F7" s="44">
        <v>1800</v>
      </c>
      <c r="K7" s="39" t="s">
        <v>59</v>
      </c>
      <c r="L7" s="165">
        <v>600</v>
      </c>
      <c r="M7" s="43" t="s">
        <v>65</v>
      </c>
      <c r="N7" s="44">
        <v>1800</v>
      </c>
    </row>
    <row r="8" spans="1:14" ht="19.5" customHeight="1">
      <c r="C8" s="39" t="s">
        <v>177</v>
      </c>
      <c r="D8" s="40">
        <v>1000</v>
      </c>
      <c r="E8" s="43" t="s">
        <v>66</v>
      </c>
      <c r="F8" s="44">
        <v>1000</v>
      </c>
      <c r="K8" s="39" t="s">
        <v>177</v>
      </c>
      <c r="L8" s="40">
        <v>1000</v>
      </c>
      <c r="M8" s="43" t="s">
        <v>66</v>
      </c>
      <c r="N8" s="44">
        <v>1000</v>
      </c>
    </row>
    <row r="9" spans="1:14" ht="19.5" customHeight="1">
      <c r="C9" s="39" t="s">
        <v>178</v>
      </c>
      <c r="D9" s="40">
        <v>1100</v>
      </c>
      <c r="E9" s="43" t="s">
        <v>181</v>
      </c>
      <c r="F9" s="159">
        <v>2300</v>
      </c>
      <c r="K9" s="39" t="s">
        <v>178</v>
      </c>
      <c r="L9" s="40">
        <v>1100</v>
      </c>
      <c r="M9" s="43" t="s">
        <v>181</v>
      </c>
      <c r="N9" s="159">
        <v>2300</v>
      </c>
    </row>
    <row r="10" spans="1:14" ht="19.5" customHeight="1">
      <c r="C10" s="39" t="s">
        <v>179</v>
      </c>
      <c r="D10" s="40">
        <v>1300</v>
      </c>
      <c r="E10" s="43" t="s">
        <v>180</v>
      </c>
      <c r="F10" s="159">
        <v>2700</v>
      </c>
      <c r="K10" s="39" t="s">
        <v>179</v>
      </c>
      <c r="L10" s="40">
        <v>1300</v>
      </c>
      <c r="M10" s="43" t="s">
        <v>180</v>
      </c>
      <c r="N10" s="159">
        <v>2700</v>
      </c>
    </row>
    <row r="11" spans="1:14" ht="19.5" customHeight="1">
      <c r="C11" s="41"/>
      <c r="E11" s="43" t="s">
        <v>182</v>
      </c>
      <c r="F11" s="159">
        <v>4500</v>
      </c>
      <c r="M11" s="43" t="s">
        <v>182</v>
      </c>
      <c r="N11" s="159">
        <v>4500</v>
      </c>
    </row>
    <row r="12" spans="1:14" ht="19.5" customHeight="1">
      <c r="C12" s="41"/>
      <c r="E12" s="43" t="s">
        <v>183</v>
      </c>
      <c r="F12" s="159">
        <v>2500</v>
      </c>
      <c r="M12" s="43" t="s">
        <v>183</v>
      </c>
      <c r="N12" s="159">
        <v>2500</v>
      </c>
    </row>
    <row r="13" spans="1:14" ht="19.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Sheet1</vt:lpstr>
      <vt:lpstr>Quotation</vt:lpstr>
      <vt:lpstr>overflow</vt:lpstr>
      <vt:lpstr>database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2017-07-22T08:36:49Z</cp:lastPrinted>
  <dcterms:created xsi:type="dcterms:W3CDTF">2017-02-23T15:14:51Z</dcterms:created>
  <dcterms:modified xsi:type="dcterms:W3CDTF">2018-10-06T12:26:27Z</dcterms:modified>
</cp:coreProperties>
</file>