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600" yWindow="60" windowWidth="9720" windowHeight="9015" tabRatio="739"/>
  </bookViews>
  <sheets>
    <sheet name="01" sheetId="3" r:id="rId1"/>
  </sheets>
  <definedNames>
    <definedName name="Mday">#REF!</definedName>
  </definedNames>
  <calcPr calcId="125725"/>
  <customWorkbookViews>
    <customWorkbookView name="Front - Personal View" guid="{A37AB39E-A6A7-4C2E-B017-BD54CB8A3967}" mergeInterval="0" personalView="1" maximized="1" xWindow="1" yWindow="1" windowWidth="1596" windowHeight="671" tabRatio="739" activeSheetId="1"/>
  </customWorkbookViews>
</workbook>
</file>

<file path=xl/calcChain.xml><?xml version="1.0" encoding="utf-8"?>
<calcChain xmlns="http://schemas.openxmlformats.org/spreadsheetml/2006/main">
  <c r="B6" i="3"/>
  <c r="AC23"/>
  <c r="AC16"/>
  <c r="AC24"/>
  <c r="AC15"/>
  <c r="AC12"/>
  <c r="AC13"/>
  <c r="AC10"/>
  <c r="AC9"/>
  <c r="AC8"/>
  <c r="AC7"/>
  <c r="AC5"/>
  <c r="AC14"/>
  <c r="AC25"/>
  <c r="AB23"/>
  <c r="AB16"/>
  <c r="AB24"/>
  <c r="AB15"/>
  <c r="AB12"/>
  <c r="AB13"/>
  <c r="AB9"/>
  <c r="AB8"/>
  <c r="AB7"/>
  <c r="AB5"/>
  <c r="AB14"/>
  <c r="AA16"/>
  <c r="AA15"/>
  <c r="AA24"/>
  <c r="AA12"/>
  <c r="AA13"/>
  <c r="AA9"/>
  <c r="AA8"/>
  <c r="AA5"/>
  <c r="AA7"/>
  <c r="AA14"/>
  <c r="Z23"/>
  <c r="Y23"/>
  <c r="X23"/>
  <c r="T23"/>
  <c r="S23"/>
  <c r="Q23"/>
  <c r="P23"/>
  <c r="O23"/>
  <c r="N23"/>
  <c r="M23"/>
  <c r="L23"/>
  <c r="K23"/>
  <c r="J23"/>
  <c r="I23"/>
  <c r="H23"/>
  <c r="G23"/>
  <c r="F23"/>
  <c r="E23"/>
  <c r="D23"/>
  <c r="C23"/>
  <c r="B23"/>
  <c r="B22"/>
  <c r="B21"/>
  <c r="B20"/>
  <c r="B19"/>
  <c r="B18"/>
  <c r="B17"/>
  <c r="Z16"/>
  <c r="Y16"/>
  <c r="X16"/>
  <c r="W16"/>
  <c r="V16"/>
  <c r="U16"/>
  <c r="T16"/>
  <c r="S16"/>
  <c r="R16"/>
  <c r="Q16"/>
  <c r="P16"/>
  <c r="O16"/>
  <c r="N16"/>
  <c r="M16"/>
  <c r="L16"/>
  <c r="K16"/>
  <c r="J16"/>
  <c r="I16"/>
  <c r="H16"/>
  <c r="G16"/>
  <c r="F16"/>
  <c r="E16"/>
  <c r="D16"/>
  <c r="C16"/>
  <c r="B16"/>
  <c r="Z15"/>
  <c r="Z24"/>
  <c r="Y15"/>
  <c r="Y24"/>
  <c r="X15"/>
  <c r="X24"/>
  <c r="W15"/>
  <c r="W24"/>
  <c r="V15"/>
  <c r="V24"/>
  <c r="U15"/>
  <c r="U24"/>
  <c r="T15"/>
  <c r="T24"/>
  <c r="S15"/>
  <c r="S24"/>
  <c r="R15"/>
  <c r="R24"/>
  <c r="Q15"/>
  <c r="Q24"/>
  <c r="P15"/>
  <c r="P24"/>
  <c r="O15"/>
  <c r="O24"/>
  <c r="N15"/>
  <c r="N24"/>
  <c r="M15"/>
  <c r="M24"/>
  <c r="L15"/>
  <c r="L24"/>
  <c r="K15"/>
  <c r="K24"/>
  <c r="J15"/>
  <c r="J24"/>
  <c r="I15"/>
  <c r="I24"/>
  <c r="H15"/>
  <c r="H24"/>
  <c r="G15"/>
  <c r="G24"/>
  <c r="F15"/>
  <c r="F24"/>
  <c r="E15"/>
  <c r="E24"/>
  <c r="D15"/>
  <c r="D24"/>
  <c r="C15"/>
  <c r="C24"/>
  <c r="Z12"/>
  <c r="Y12"/>
  <c r="Y13"/>
  <c r="X12"/>
  <c r="W12"/>
  <c r="V12"/>
  <c r="U12"/>
  <c r="U13"/>
  <c r="T12"/>
  <c r="S12"/>
  <c r="R12"/>
  <c r="Q12"/>
  <c r="Q13"/>
  <c r="P12"/>
  <c r="O12"/>
  <c r="N12"/>
  <c r="M12"/>
  <c r="M13"/>
  <c r="L12"/>
  <c r="K12"/>
  <c r="J12"/>
  <c r="I12"/>
  <c r="I13"/>
  <c r="H12"/>
  <c r="G12"/>
  <c r="F12"/>
  <c r="E12"/>
  <c r="E13"/>
  <c r="D12"/>
  <c r="C12"/>
  <c r="B12"/>
  <c r="B11"/>
  <c r="Z9"/>
  <c r="Y9"/>
  <c r="X9"/>
  <c r="W9"/>
  <c r="V9"/>
  <c r="U9"/>
  <c r="T9"/>
  <c r="S9"/>
  <c r="R9"/>
  <c r="Q9"/>
  <c r="P9"/>
  <c r="O9"/>
  <c r="N9"/>
  <c r="M9"/>
  <c r="L9"/>
  <c r="K9"/>
  <c r="J9"/>
  <c r="I9"/>
  <c r="H9"/>
  <c r="G9"/>
  <c r="F9"/>
  <c r="E9"/>
  <c r="D9"/>
  <c r="C9"/>
  <c r="Z8"/>
  <c r="Y8"/>
  <c r="X8"/>
  <c r="W8"/>
  <c r="V8"/>
  <c r="U8"/>
  <c r="T8"/>
  <c r="S8"/>
  <c r="R8"/>
  <c r="Q8"/>
  <c r="P8"/>
  <c r="O8"/>
  <c r="N8"/>
  <c r="M8"/>
  <c r="L8"/>
  <c r="K8"/>
  <c r="J8"/>
  <c r="I8"/>
  <c r="H8"/>
  <c r="G8"/>
  <c r="F8"/>
  <c r="E8"/>
  <c r="D8"/>
  <c r="C8"/>
  <c r="B8"/>
  <c r="B7"/>
  <c r="Z5"/>
  <c r="Z7"/>
  <c r="Y5"/>
  <c r="Y7"/>
  <c r="X5"/>
  <c r="X7"/>
  <c r="W5"/>
  <c r="W7"/>
  <c r="V5"/>
  <c r="V7"/>
  <c r="U5"/>
  <c r="U7"/>
  <c r="T5"/>
  <c r="T7"/>
  <c r="S5"/>
  <c r="S7"/>
  <c r="R5"/>
  <c r="R7"/>
  <c r="Q5"/>
  <c r="Q7"/>
  <c r="P5"/>
  <c r="P7"/>
  <c r="O5"/>
  <c r="O7"/>
  <c r="N5"/>
  <c r="N7"/>
  <c r="M5"/>
  <c r="M7"/>
  <c r="L5"/>
  <c r="L7"/>
  <c r="K5"/>
  <c r="K7"/>
  <c r="J5"/>
  <c r="J7"/>
  <c r="I5"/>
  <c r="I7"/>
  <c r="H5"/>
  <c r="H7"/>
  <c r="G5"/>
  <c r="G7"/>
  <c r="F5"/>
  <c r="F7"/>
  <c r="E5"/>
  <c r="E7"/>
  <c r="D5"/>
  <c r="D7"/>
  <c r="C5"/>
  <c r="C7"/>
  <c r="B4"/>
  <c r="B3"/>
  <c r="B5"/>
  <c r="E14"/>
  <c r="I14"/>
  <c r="M14"/>
  <c r="Q14"/>
  <c r="U14"/>
  <c r="Y14"/>
  <c r="C13"/>
  <c r="C14"/>
  <c r="C25"/>
  <c r="D10"/>
  <c r="G13"/>
  <c r="G14"/>
  <c r="K13"/>
  <c r="K14"/>
  <c r="O13"/>
  <c r="O14"/>
  <c r="S13"/>
  <c r="S14"/>
  <c r="W13"/>
  <c r="W14"/>
  <c r="B9"/>
  <c r="D13"/>
  <c r="F13"/>
  <c r="F14"/>
  <c r="H13"/>
  <c r="H14"/>
  <c r="J13"/>
  <c r="J14"/>
  <c r="L13"/>
  <c r="L14"/>
  <c r="N13"/>
  <c r="N14"/>
  <c r="P13"/>
  <c r="P14"/>
  <c r="R13"/>
  <c r="R14"/>
  <c r="T13"/>
  <c r="T14"/>
  <c r="V13"/>
  <c r="V14"/>
  <c r="X13"/>
  <c r="X14"/>
  <c r="Z13"/>
  <c r="Z14"/>
  <c r="B15"/>
  <c r="B24"/>
  <c r="B13"/>
  <c r="B14"/>
  <c r="B25"/>
  <c r="D14"/>
  <c r="D25"/>
  <c r="E10"/>
  <c r="E25"/>
  <c r="F10"/>
  <c r="F25"/>
  <c r="G10"/>
  <c r="G25"/>
  <c r="H10"/>
  <c r="H25"/>
  <c r="I10"/>
  <c r="I25"/>
  <c r="J10"/>
  <c r="J25"/>
  <c r="K10"/>
  <c r="K25"/>
  <c r="L10"/>
  <c r="L25"/>
  <c r="M10"/>
  <c r="M25"/>
  <c r="N10"/>
  <c r="N25"/>
  <c r="O10"/>
  <c r="O25"/>
  <c r="P10"/>
  <c r="P25"/>
  <c r="Q10"/>
  <c r="Q25"/>
  <c r="R10"/>
  <c r="R25"/>
  <c r="S10"/>
  <c r="S25"/>
  <c r="T10"/>
  <c r="T25"/>
  <c r="U10"/>
  <c r="U25"/>
  <c r="V10"/>
  <c r="V25"/>
  <c r="W10"/>
  <c r="W25"/>
  <c r="X10"/>
  <c r="X25"/>
  <c r="Y10"/>
  <c r="Y25"/>
  <c r="Z10"/>
  <c r="Z25"/>
  <c r="AA10"/>
  <c r="AA25"/>
  <c r="AB10"/>
  <c r="AB25"/>
  <c r="AG24"/>
  <c r="AF24"/>
  <c r="AE24"/>
  <c r="AD24"/>
  <c r="AG14"/>
  <c r="AF14"/>
  <c r="AE14"/>
  <c r="AD14"/>
  <c r="AG9"/>
  <c r="AF9"/>
  <c r="AE9"/>
  <c r="AD9"/>
  <c r="AG8"/>
  <c r="AF8"/>
  <c r="AE8"/>
  <c r="AD8"/>
  <c r="AG7"/>
  <c r="AF7"/>
  <c r="AE7"/>
  <c r="AD7"/>
  <c r="AG5"/>
  <c r="AF5"/>
  <c r="AE5"/>
  <c r="AD5"/>
  <c r="D2"/>
  <c r="E2"/>
  <c r="F2"/>
  <c r="G2"/>
  <c r="H2"/>
  <c r="I2"/>
  <c r="J2"/>
  <c r="K2"/>
  <c r="L2"/>
  <c r="M2"/>
  <c r="N2"/>
  <c r="O2"/>
  <c r="P2"/>
  <c r="Q2"/>
  <c r="R2"/>
  <c r="S2"/>
  <c r="T2"/>
  <c r="U2"/>
  <c r="V2"/>
  <c r="W2"/>
  <c r="X2"/>
  <c r="Y2"/>
  <c r="Z2"/>
  <c r="AA2"/>
  <c r="AB2"/>
  <c r="AC2"/>
  <c r="AD2"/>
  <c r="AE2"/>
  <c r="AF2"/>
  <c r="AG2"/>
  <c r="AD10"/>
  <c r="AD25"/>
  <c r="AE10"/>
  <c r="AE25"/>
  <c r="AF10"/>
  <c r="AF25"/>
  <c r="AG10"/>
  <c r="AG25"/>
</calcChain>
</file>

<file path=xl/sharedStrings.xml><?xml version="1.0" encoding="utf-8"?>
<sst xmlns="http://schemas.openxmlformats.org/spreadsheetml/2006/main" count="27" uniqueCount="27">
  <si>
    <t>จำนวนห้องพักที่มีทั้งหมด</t>
  </si>
  <si>
    <t>ห้องปิด - ปรับปรุง</t>
  </si>
  <si>
    <t>ห้องพักที่มีพร้อมขาย</t>
  </si>
  <si>
    <t>ห้องพักที่ขายได้</t>
  </si>
  <si>
    <t>% ห้องพักที่ขายได้</t>
  </si>
  <si>
    <t>ค่าห้องเฉลี่ยต่อห้องที่ขายได้</t>
  </si>
  <si>
    <t>ค่าห้องเฉลี่ยต่อห้องที่มีทั้งหมด</t>
  </si>
  <si>
    <t>รายการ</t>
  </si>
  <si>
    <t xml:space="preserve">   ค่าห้องพัก</t>
  </si>
  <si>
    <t xml:space="preserve">   ค่าอาหารและเครื่องดื่ม</t>
  </si>
  <si>
    <t xml:space="preserve">   อื่น ๆ</t>
  </si>
  <si>
    <t>รวมรายรับ</t>
  </si>
  <si>
    <t>รวมทั้งสิ้น</t>
  </si>
  <si>
    <t>สรุปรายได้ - รายรับ</t>
  </si>
  <si>
    <t>รวมรายได้</t>
  </si>
  <si>
    <t>เงินสด</t>
  </si>
  <si>
    <t>เครดิตการ์ด</t>
  </si>
  <si>
    <t>เช็ค / โอนเงิน</t>
  </si>
  <si>
    <t>ปีกัสทัวร์</t>
  </si>
  <si>
    <t>เว็บไซด์</t>
  </si>
  <si>
    <t>วอยซ์เชอร์ / ไทยเที่ยวไทย</t>
  </si>
  <si>
    <t>ลูกหนี้ - ส่งบิลเก็บเงิน</t>
  </si>
  <si>
    <t>เลี้ยงรับรอง</t>
  </si>
  <si>
    <t>ยอดยกมา</t>
  </si>
  <si>
    <t>รวมทั้งสิ้น - ยอดยกไป</t>
  </si>
  <si>
    <t>ล้างยอด - ลูกหนี้แขกพัก</t>
  </si>
  <si>
    <t>แอลเค เมโทรโพล</t>
  </si>
</sst>
</file>

<file path=xl/styles.xml><?xml version="1.0" encoding="utf-8"?>
<styleSheet xmlns="http://schemas.openxmlformats.org/spreadsheetml/2006/main">
  <numFmts count="3">
    <numFmt numFmtId="43" formatCode="_-* #,##0.00_-;\-* #,##0.00_-;_-* &quot;-&quot;??_-;_-@_-"/>
    <numFmt numFmtId="187" formatCode="_(* #,##0.00_);_(* \(#,##0.00\);_(* &quot;-&quot;??_);_(@_)"/>
    <numFmt numFmtId="188" formatCode="_(* #,##0_);_(* \(#,##0\);_(* &quot;-&quot;??_);_(@_)"/>
  </numFmts>
  <fonts count="10">
    <font>
      <sz val="11"/>
      <color theme="1"/>
      <name val="Tahoma"/>
      <family val="2"/>
      <charset val="222"/>
    </font>
    <font>
      <sz val="11"/>
      <name val="Tahoma"/>
      <family val="2"/>
    </font>
    <font>
      <sz val="11"/>
      <color theme="1"/>
      <name val="Tahoma"/>
      <family val="2"/>
      <charset val="222"/>
    </font>
    <font>
      <sz val="10"/>
      <color theme="1"/>
      <name val="Tahoma"/>
      <family val="2"/>
    </font>
    <font>
      <b/>
      <sz val="12"/>
      <color theme="1"/>
      <name val="Tahoma"/>
      <family val="2"/>
    </font>
    <font>
      <sz val="11"/>
      <color theme="1"/>
      <name val="Tahoma"/>
      <family val="2"/>
    </font>
    <font>
      <b/>
      <sz val="11"/>
      <color theme="1"/>
      <name val="Tahoma"/>
      <family val="2"/>
    </font>
    <font>
      <b/>
      <sz val="14"/>
      <color theme="1"/>
      <name val="Tahoma"/>
      <family val="2"/>
    </font>
    <font>
      <sz val="11"/>
      <color rgb="FFC00000"/>
      <name val="Tahoma"/>
      <family val="2"/>
    </font>
    <font>
      <sz val="11"/>
      <color rgb="FF0070C0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6">
    <xf numFmtId="0" fontId="0" fillId="0" borderId="0"/>
    <xf numFmtId="43" fontId="2" fillId="0" borderId="0" applyFont="0" applyFill="0" applyBorder="0" applyAlignment="0" applyProtection="0"/>
    <xf numFmtId="187" fontId="3" fillId="0" borderId="0" applyFont="0" applyFill="0" applyBorder="0" applyAlignment="0" applyProtection="0"/>
    <xf numFmtId="0" fontId="3" fillId="0" borderId="0"/>
    <xf numFmtId="9" fontId="2" fillId="0" borderId="0" applyFont="0" applyFill="0" applyBorder="0" applyAlignment="0" applyProtection="0"/>
    <xf numFmtId="9" fontId="3" fillId="0" borderId="0" applyFont="0" applyFill="0" applyBorder="0" applyAlignment="0" applyProtection="0"/>
  </cellStyleXfs>
  <cellXfs count="34">
    <xf numFmtId="0" fontId="0" fillId="0" borderId="0" xfId="0"/>
    <xf numFmtId="0" fontId="4" fillId="0" borderId="0" xfId="3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3" applyFont="1" applyAlignment="1">
      <alignment vertical="center"/>
    </xf>
    <xf numFmtId="188" fontId="5" fillId="0" borderId="0" xfId="2" applyNumberFormat="1" applyFont="1" applyAlignment="1">
      <alignment vertical="center"/>
    </xf>
    <xf numFmtId="187" fontId="5" fillId="0" borderId="0" xfId="2" applyFont="1" applyAlignment="1">
      <alignment vertical="center"/>
    </xf>
    <xf numFmtId="10" fontId="5" fillId="0" borderId="0" xfId="4" applyNumberFormat="1" applyFont="1" applyAlignment="1">
      <alignment vertical="center"/>
    </xf>
    <xf numFmtId="0" fontId="5" fillId="0" borderId="1" xfId="3" applyFont="1" applyBorder="1" applyAlignment="1">
      <alignment vertical="center"/>
    </xf>
    <xf numFmtId="0" fontId="6" fillId="2" borderId="2" xfId="3" applyFont="1" applyFill="1" applyBorder="1" applyAlignment="1">
      <alignment horizontal="center" vertical="center"/>
    </xf>
    <xf numFmtId="0" fontId="6" fillId="3" borderId="2" xfId="3" applyFont="1" applyFill="1" applyBorder="1" applyAlignment="1">
      <alignment vertical="center"/>
    </xf>
    <xf numFmtId="0" fontId="6" fillId="2" borderId="3" xfId="3" applyFont="1" applyFill="1" applyBorder="1" applyAlignment="1">
      <alignment vertical="center"/>
    </xf>
    <xf numFmtId="0" fontId="7" fillId="0" borderId="0" xfId="3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188" fontId="8" fillId="0" borderId="0" xfId="2" applyNumberFormat="1" applyFont="1" applyAlignment="1" applyProtection="1">
      <alignment vertical="center"/>
      <protection locked="0"/>
    </xf>
    <xf numFmtId="0" fontId="6" fillId="4" borderId="0" xfId="3" applyFont="1" applyFill="1" applyBorder="1" applyAlignment="1">
      <alignment vertical="center"/>
    </xf>
    <xf numFmtId="0" fontId="5" fillId="0" borderId="0" xfId="3" applyFont="1" applyAlignment="1">
      <alignment horizontal="left" vertical="center" indent="1"/>
    </xf>
    <xf numFmtId="0" fontId="5" fillId="0" borderId="1" xfId="3" applyFont="1" applyBorder="1" applyAlignment="1">
      <alignment horizontal="left" vertical="center" indent="1"/>
    </xf>
    <xf numFmtId="43" fontId="6" fillId="3" borderId="2" xfId="1" applyFont="1" applyFill="1" applyBorder="1" applyAlignment="1">
      <alignment vertical="center"/>
    </xf>
    <xf numFmtId="43" fontId="6" fillId="4" borderId="2" xfId="1" applyFont="1" applyFill="1" applyBorder="1" applyAlignment="1">
      <alignment vertical="center"/>
    </xf>
    <xf numFmtId="43" fontId="6" fillId="2" borderId="3" xfId="1" applyFont="1" applyFill="1" applyBorder="1" applyAlignment="1">
      <alignment vertical="center"/>
    </xf>
    <xf numFmtId="0" fontId="6" fillId="2" borderId="2" xfId="3" applyFont="1" applyFill="1" applyBorder="1" applyAlignment="1">
      <alignment vertical="center"/>
    </xf>
    <xf numFmtId="43" fontId="5" fillId="0" borderId="0" xfId="1" applyFont="1" applyAlignment="1" applyProtection="1">
      <alignment vertical="center"/>
      <protection locked="0"/>
    </xf>
    <xf numFmtId="43" fontId="1" fillId="0" borderId="0" xfId="1" applyFont="1" applyAlignment="1" applyProtection="1">
      <alignment vertical="center"/>
      <protection locked="0"/>
    </xf>
    <xf numFmtId="43" fontId="1" fillId="0" borderId="1" xfId="1" applyFont="1" applyBorder="1" applyAlignment="1" applyProtection="1">
      <alignment vertical="center"/>
      <protection locked="0"/>
    </xf>
    <xf numFmtId="188" fontId="1" fillId="0" borderId="0" xfId="2" applyNumberFormat="1" applyFont="1" applyAlignment="1" applyProtection="1">
      <alignment vertical="center"/>
      <protection locked="0"/>
    </xf>
    <xf numFmtId="0" fontId="9" fillId="0" borderId="0" xfId="3" applyFont="1" applyAlignment="1">
      <alignment vertical="center"/>
    </xf>
    <xf numFmtId="188" fontId="5" fillId="0" borderId="0" xfId="2" applyNumberFormat="1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43" fontId="6" fillId="2" borderId="2" xfId="1" applyFont="1" applyFill="1" applyBorder="1" applyAlignment="1" applyProtection="1">
      <alignment vertical="center"/>
      <protection locked="0"/>
    </xf>
    <xf numFmtId="43" fontId="5" fillId="0" borderId="0" xfId="0" applyNumberFormat="1" applyFont="1" applyAlignment="1" applyProtection="1">
      <alignment vertical="center"/>
      <protection locked="0"/>
    </xf>
    <xf numFmtId="0" fontId="8" fillId="0" borderId="0" xfId="3" applyFont="1" applyAlignment="1">
      <alignment vertical="center"/>
    </xf>
    <xf numFmtId="0" fontId="8" fillId="0" borderId="0" xfId="0" applyFont="1" applyAlignment="1" applyProtection="1">
      <alignment vertical="center"/>
      <protection locked="0"/>
    </xf>
    <xf numFmtId="188" fontId="9" fillId="0" borderId="0" xfId="2" applyNumberFormat="1" applyFont="1" applyAlignment="1" applyProtection="1">
      <alignment vertical="center"/>
      <protection locked="0"/>
    </xf>
  </cellXfs>
  <cellStyles count="6">
    <cellStyle name="Comma" xfId="1" builtinId="3"/>
    <cellStyle name="Comma 2" xfId="2"/>
    <cellStyle name="Normal" xfId="0" builtinId="0"/>
    <cellStyle name="Normal 2" xfId="3"/>
    <cellStyle name="Percent" xfId="4" builtinId="5"/>
    <cellStyle name="Percent 2" xf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3">
    <tabColor theme="9" tint="0.59999389629810485"/>
  </sheetPr>
  <dimension ref="A1:AG35"/>
  <sheetViews>
    <sheetView tabSelected="1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C3" sqref="C3"/>
    </sheetView>
  </sheetViews>
  <sheetFormatPr defaultRowHeight="14.25"/>
  <cols>
    <col min="1" max="1" width="27.125" style="3" bestFit="1" customWidth="1"/>
    <col min="2" max="33" width="18.625" style="3" customWidth="1"/>
    <col min="34" max="16384" width="9" style="3"/>
  </cols>
  <sheetData>
    <row r="1" spans="1:33" ht="24.95" customHeight="1">
      <c r="A1" s="12" t="s">
        <v>26</v>
      </c>
      <c r="B1" s="1" t="s">
        <v>13</v>
      </c>
      <c r="C1" s="1"/>
      <c r="D1" s="2"/>
      <c r="E1" s="13"/>
    </row>
    <row r="2" spans="1:33" ht="24.95" customHeight="1">
      <c r="A2" s="9" t="s">
        <v>7</v>
      </c>
      <c r="B2" s="9" t="s">
        <v>12</v>
      </c>
      <c r="C2" s="9">
        <v>1</v>
      </c>
      <c r="D2" s="9">
        <f>+C2+1</f>
        <v>2</v>
      </c>
      <c r="E2" s="9">
        <f t="shared" ref="E2:AG2" si="0">+D2+1</f>
        <v>3</v>
      </c>
      <c r="F2" s="9">
        <f t="shared" si="0"/>
        <v>4</v>
      </c>
      <c r="G2" s="9">
        <f t="shared" si="0"/>
        <v>5</v>
      </c>
      <c r="H2" s="9">
        <f t="shared" si="0"/>
        <v>6</v>
      </c>
      <c r="I2" s="9">
        <f t="shared" si="0"/>
        <v>7</v>
      </c>
      <c r="J2" s="9">
        <f t="shared" si="0"/>
        <v>8</v>
      </c>
      <c r="K2" s="9">
        <f t="shared" si="0"/>
        <v>9</v>
      </c>
      <c r="L2" s="9">
        <f t="shared" si="0"/>
        <v>10</v>
      </c>
      <c r="M2" s="9">
        <f t="shared" si="0"/>
        <v>11</v>
      </c>
      <c r="N2" s="9">
        <f t="shared" si="0"/>
        <v>12</v>
      </c>
      <c r="O2" s="9">
        <f t="shared" si="0"/>
        <v>13</v>
      </c>
      <c r="P2" s="9">
        <f t="shared" si="0"/>
        <v>14</v>
      </c>
      <c r="Q2" s="9">
        <f t="shared" si="0"/>
        <v>15</v>
      </c>
      <c r="R2" s="9">
        <f t="shared" si="0"/>
        <v>16</v>
      </c>
      <c r="S2" s="9">
        <f t="shared" si="0"/>
        <v>17</v>
      </c>
      <c r="T2" s="9">
        <f t="shared" si="0"/>
        <v>18</v>
      </c>
      <c r="U2" s="9">
        <f t="shared" si="0"/>
        <v>19</v>
      </c>
      <c r="V2" s="9">
        <f t="shared" si="0"/>
        <v>20</v>
      </c>
      <c r="W2" s="9">
        <f t="shared" si="0"/>
        <v>21</v>
      </c>
      <c r="X2" s="9">
        <f t="shared" si="0"/>
        <v>22</v>
      </c>
      <c r="Y2" s="9">
        <f t="shared" si="0"/>
        <v>23</v>
      </c>
      <c r="Z2" s="9">
        <f t="shared" si="0"/>
        <v>24</v>
      </c>
      <c r="AA2" s="9">
        <f t="shared" si="0"/>
        <v>25</v>
      </c>
      <c r="AB2" s="9">
        <f t="shared" si="0"/>
        <v>26</v>
      </c>
      <c r="AC2" s="9">
        <f t="shared" si="0"/>
        <v>27</v>
      </c>
      <c r="AD2" s="9">
        <f t="shared" si="0"/>
        <v>28</v>
      </c>
      <c r="AE2" s="9">
        <f t="shared" si="0"/>
        <v>29</v>
      </c>
      <c r="AF2" s="9">
        <f t="shared" si="0"/>
        <v>30</v>
      </c>
      <c r="AG2" s="9">
        <f t="shared" si="0"/>
        <v>31</v>
      </c>
    </row>
    <row r="3" spans="1:33">
      <c r="A3" s="4" t="s">
        <v>0</v>
      </c>
      <c r="B3" s="27">
        <f>SUM(C3:AG3)</f>
        <v>4131</v>
      </c>
      <c r="C3" s="27">
        <v>153</v>
      </c>
      <c r="D3" s="27">
        <v>153</v>
      </c>
      <c r="E3" s="27">
        <v>153</v>
      </c>
      <c r="F3" s="27">
        <v>153</v>
      </c>
      <c r="G3" s="27">
        <v>153</v>
      </c>
      <c r="H3" s="27">
        <v>153</v>
      </c>
      <c r="I3" s="27">
        <v>153</v>
      </c>
      <c r="J3" s="27">
        <v>153</v>
      </c>
      <c r="K3" s="27">
        <v>153</v>
      </c>
      <c r="L3" s="27">
        <v>153</v>
      </c>
      <c r="M3" s="27">
        <v>153</v>
      </c>
      <c r="N3" s="27">
        <v>153</v>
      </c>
      <c r="O3" s="27">
        <v>153</v>
      </c>
      <c r="P3" s="27">
        <v>153</v>
      </c>
      <c r="Q3" s="27">
        <v>153</v>
      </c>
      <c r="R3" s="27">
        <v>153</v>
      </c>
      <c r="S3" s="27">
        <v>153</v>
      </c>
      <c r="T3" s="27">
        <v>153</v>
      </c>
      <c r="U3" s="27">
        <v>153</v>
      </c>
      <c r="V3" s="27">
        <v>153</v>
      </c>
      <c r="W3" s="27">
        <v>153</v>
      </c>
      <c r="X3" s="27">
        <v>153</v>
      </c>
      <c r="Y3" s="27">
        <v>153</v>
      </c>
      <c r="Z3" s="27">
        <v>153</v>
      </c>
      <c r="AA3" s="27">
        <v>153</v>
      </c>
      <c r="AB3" s="27">
        <v>153</v>
      </c>
      <c r="AC3" s="27">
        <v>153</v>
      </c>
      <c r="AD3" s="27"/>
      <c r="AE3" s="27"/>
      <c r="AF3" s="27"/>
      <c r="AG3" s="27"/>
    </row>
    <row r="4" spans="1:33">
      <c r="A4" s="31" t="s">
        <v>1</v>
      </c>
      <c r="B4" s="14">
        <f>SUM(C4:AG4)</f>
        <v>2</v>
      </c>
      <c r="C4" s="14"/>
      <c r="D4" s="14"/>
      <c r="E4" s="14"/>
      <c r="F4" s="14">
        <v>1</v>
      </c>
      <c r="G4" s="14"/>
      <c r="H4" s="14">
        <v>1</v>
      </c>
      <c r="I4" s="14"/>
      <c r="J4" s="14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  <c r="AA4" s="32"/>
      <c r="AB4" s="32"/>
      <c r="AC4" s="32"/>
      <c r="AD4" s="32"/>
      <c r="AE4" s="32"/>
      <c r="AF4" s="32"/>
      <c r="AG4" s="32"/>
    </row>
    <row r="5" spans="1:33">
      <c r="A5" s="4" t="s">
        <v>2</v>
      </c>
      <c r="B5" s="5">
        <f>+B3-B4</f>
        <v>4129</v>
      </c>
      <c r="C5" s="5">
        <f t="shared" ref="C5:AC5" si="1">+C3-C4</f>
        <v>153</v>
      </c>
      <c r="D5" s="5">
        <f t="shared" si="1"/>
        <v>153</v>
      </c>
      <c r="E5" s="5">
        <f t="shared" si="1"/>
        <v>153</v>
      </c>
      <c r="F5" s="5">
        <f t="shared" si="1"/>
        <v>152</v>
      </c>
      <c r="G5" s="5">
        <f t="shared" si="1"/>
        <v>153</v>
      </c>
      <c r="H5" s="5">
        <f t="shared" si="1"/>
        <v>152</v>
      </c>
      <c r="I5" s="5">
        <f t="shared" si="1"/>
        <v>153</v>
      </c>
      <c r="J5" s="5">
        <f t="shared" si="1"/>
        <v>153</v>
      </c>
      <c r="K5" s="5">
        <f t="shared" si="1"/>
        <v>153</v>
      </c>
      <c r="L5" s="5">
        <f t="shared" si="1"/>
        <v>153</v>
      </c>
      <c r="M5" s="5">
        <f t="shared" si="1"/>
        <v>153</v>
      </c>
      <c r="N5" s="5">
        <f t="shared" si="1"/>
        <v>153</v>
      </c>
      <c r="O5" s="5">
        <f t="shared" si="1"/>
        <v>153</v>
      </c>
      <c r="P5" s="5">
        <f t="shared" si="1"/>
        <v>153</v>
      </c>
      <c r="Q5" s="5">
        <f t="shared" si="1"/>
        <v>153</v>
      </c>
      <c r="R5" s="5">
        <f t="shared" si="1"/>
        <v>153</v>
      </c>
      <c r="S5" s="5">
        <f t="shared" si="1"/>
        <v>153</v>
      </c>
      <c r="T5" s="5">
        <f t="shared" si="1"/>
        <v>153</v>
      </c>
      <c r="U5" s="5">
        <f t="shared" si="1"/>
        <v>153</v>
      </c>
      <c r="V5" s="5">
        <f t="shared" si="1"/>
        <v>153</v>
      </c>
      <c r="W5" s="5">
        <f t="shared" si="1"/>
        <v>153</v>
      </c>
      <c r="X5" s="5">
        <f t="shared" si="1"/>
        <v>153</v>
      </c>
      <c r="Y5" s="5">
        <f t="shared" si="1"/>
        <v>153</v>
      </c>
      <c r="Z5" s="5">
        <f t="shared" si="1"/>
        <v>153</v>
      </c>
      <c r="AA5" s="5">
        <f t="shared" si="1"/>
        <v>153</v>
      </c>
      <c r="AB5" s="5">
        <f t="shared" si="1"/>
        <v>153</v>
      </c>
      <c r="AC5" s="5">
        <f t="shared" si="1"/>
        <v>153</v>
      </c>
      <c r="AD5" s="5">
        <f>+AD3-AD4</f>
        <v>0</v>
      </c>
      <c r="AE5" s="5">
        <f>+AE3-AE4</f>
        <v>0</v>
      </c>
      <c r="AF5" s="5">
        <f>+AF3-AF4</f>
        <v>0</v>
      </c>
      <c r="AG5" s="5">
        <f>+AG3-AG4</f>
        <v>0</v>
      </c>
    </row>
    <row r="6" spans="1:33">
      <c r="A6" s="26" t="s">
        <v>3</v>
      </c>
      <c r="B6" s="33">
        <f>SUM(C6:AG6)</f>
        <v>3830</v>
      </c>
      <c r="C6" s="33">
        <v>141</v>
      </c>
      <c r="D6" s="33">
        <v>143</v>
      </c>
      <c r="E6" s="33">
        <v>125</v>
      </c>
      <c r="F6" s="33">
        <v>131</v>
      </c>
      <c r="G6" s="33">
        <v>126</v>
      </c>
      <c r="H6" s="33">
        <v>135</v>
      </c>
      <c r="I6" s="33">
        <v>135</v>
      </c>
      <c r="J6" s="33">
        <v>140</v>
      </c>
      <c r="K6" s="33">
        <v>144</v>
      </c>
      <c r="L6" s="33">
        <v>137</v>
      </c>
      <c r="M6" s="33">
        <v>148</v>
      </c>
      <c r="N6" s="33">
        <v>153</v>
      </c>
      <c r="O6" s="33">
        <v>152</v>
      </c>
      <c r="P6" s="33">
        <v>148</v>
      </c>
      <c r="Q6" s="33">
        <v>151</v>
      </c>
      <c r="R6" s="33">
        <v>150</v>
      </c>
      <c r="S6" s="33">
        <v>152</v>
      </c>
      <c r="T6" s="33">
        <v>148</v>
      </c>
      <c r="U6" s="33">
        <v>145</v>
      </c>
      <c r="V6" s="33">
        <v>147</v>
      </c>
      <c r="W6" s="33">
        <v>141</v>
      </c>
      <c r="X6" s="33">
        <v>148</v>
      </c>
      <c r="Y6" s="33">
        <v>151</v>
      </c>
      <c r="Z6" s="33">
        <v>149</v>
      </c>
      <c r="AA6" s="33">
        <v>136</v>
      </c>
      <c r="AB6" s="33">
        <v>124</v>
      </c>
      <c r="AC6" s="33">
        <v>130</v>
      </c>
      <c r="AD6" s="25"/>
      <c r="AE6" s="25"/>
      <c r="AF6" s="25"/>
      <c r="AG6" s="25"/>
    </row>
    <row r="7" spans="1:33">
      <c r="A7" s="4" t="s">
        <v>4</v>
      </c>
      <c r="B7" s="7">
        <f>IF(B6=0,0,B6/B5)</f>
        <v>0.92758537176071687</v>
      </c>
      <c r="C7" s="7">
        <f t="shared" ref="C7:AC7" si="2">IF(C6=0,0,C6/C5)</f>
        <v>0.92156862745098034</v>
      </c>
      <c r="D7" s="7">
        <f t="shared" si="2"/>
        <v>0.934640522875817</v>
      </c>
      <c r="E7" s="7">
        <f t="shared" si="2"/>
        <v>0.81699346405228757</v>
      </c>
      <c r="F7" s="7">
        <f t="shared" si="2"/>
        <v>0.86184210526315785</v>
      </c>
      <c r="G7" s="7">
        <f t="shared" si="2"/>
        <v>0.82352941176470584</v>
      </c>
      <c r="H7" s="7">
        <f t="shared" si="2"/>
        <v>0.88815789473684215</v>
      </c>
      <c r="I7" s="7">
        <f t="shared" si="2"/>
        <v>0.88235294117647056</v>
      </c>
      <c r="J7" s="7">
        <f t="shared" si="2"/>
        <v>0.91503267973856206</v>
      </c>
      <c r="K7" s="7">
        <f t="shared" si="2"/>
        <v>0.94117647058823528</v>
      </c>
      <c r="L7" s="7">
        <f t="shared" si="2"/>
        <v>0.89542483660130723</v>
      </c>
      <c r="M7" s="7">
        <f t="shared" si="2"/>
        <v>0.9673202614379085</v>
      </c>
      <c r="N7" s="7">
        <f t="shared" si="2"/>
        <v>1</v>
      </c>
      <c r="O7" s="7">
        <f t="shared" si="2"/>
        <v>0.99346405228758172</v>
      </c>
      <c r="P7" s="7">
        <f t="shared" si="2"/>
        <v>0.9673202614379085</v>
      </c>
      <c r="Q7" s="7">
        <f t="shared" si="2"/>
        <v>0.98692810457516345</v>
      </c>
      <c r="R7" s="7">
        <f t="shared" si="2"/>
        <v>0.98039215686274506</v>
      </c>
      <c r="S7" s="7">
        <f t="shared" si="2"/>
        <v>0.99346405228758172</v>
      </c>
      <c r="T7" s="7">
        <f t="shared" si="2"/>
        <v>0.9673202614379085</v>
      </c>
      <c r="U7" s="7">
        <f t="shared" si="2"/>
        <v>0.94771241830065356</v>
      </c>
      <c r="V7" s="7">
        <f t="shared" si="2"/>
        <v>0.96078431372549022</v>
      </c>
      <c r="W7" s="7">
        <f t="shared" si="2"/>
        <v>0.92156862745098034</v>
      </c>
      <c r="X7" s="7">
        <f t="shared" si="2"/>
        <v>0.9673202614379085</v>
      </c>
      <c r="Y7" s="7">
        <f t="shared" si="2"/>
        <v>0.98692810457516345</v>
      </c>
      <c r="Z7" s="7">
        <f t="shared" si="2"/>
        <v>0.97385620915032678</v>
      </c>
      <c r="AA7" s="7">
        <f t="shared" si="2"/>
        <v>0.88888888888888884</v>
      </c>
      <c r="AB7" s="7">
        <f t="shared" si="2"/>
        <v>0.81045751633986929</v>
      </c>
      <c r="AC7" s="7">
        <f t="shared" si="2"/>
        <v>0.84967320261437906</v>
      </c>
      <c r="AD7" s="7">
        <f>IF(AD6=0,0,AD6/AD5)</f>
        <v>0</v>
      </c>
      <c r="AE7" s="7">
        <f>IF(AE6=0,0,AE6/AE5)</f>
        <v>0</v>
      </c>
      <c r="AF7" s="7">
        <f>IF(AF6=0,0,AF6/AF5)</f>
        <v>0</v>
      </c>
      <c r="AG7" s="7">
        <f>IF(AG6=0,0,AG6/AG5)</f>
        <v>0</v>
      </c>
    </row>
    <row r="8" spans="1:33">
      <c r="A8" s="4" t="s">
        <v>5</v>
      </c>
      <c r="B8" s="6">
        <f>IF(B6=0,0,B11/B6)</f>
        <v>1544.1819033942559</v>
      </c>
      <c r="C8" s="6">
        <f t="shared" ref="C8:AC8" si="3">IF(C6=0,0,C11/C6)</f>
        <v>1401.6842553191491</v>
      </c>
      <c r="D8" s="6">
        <f t="shared" si="3"/>
        <v>1448.414195804196</v>
      </c>
      <c r="E8" s="6">
        <f t="shared" si="3"/>
        <v>1450.8376799999999</v>
      </c>
      <c r="F8" s="6">
        <f t="shared" si="3"/>
        <v>1575.1518320610687</v>
      </c>
      <c r="G8" s="6">
        <f t="shared" si="3"/>
        <v>1450.512619047619</v>
      </c>
      <c r="H8" s="6">
        <f t="shared" si="3"/>
        <v>1500.4131851851853</v>
      </c>
      <c r="I8" s="6">
        <f t="shared" si="3"/>
        <v>1415.8621481481482</v>
      </c>
      <c r="J8" s="6">
        <f t="shared" si="3"/>
        <v>1557.1947142857143</v>
      </c>
      <c r="K8" s="6">
        <f t="shared" si="3"/>
        <v>1592.8295833333332</v>
      </c>
      <c r="L8" s="6">
        <f t="shared" si="3"/>
        <v>1539.7102919708029</v>
      </c>
      <c r="M8" s="6">
        <f t="shared" si="3"/>
        <v>1644.3512162162162</v>
      </c>
      <c r="N8" s="6">
        <f t="shared" si="3"/>
        <v>1590.7796078431372</v>
      </c>
      <c r="O8" s="6">
        <f t="shared" si="3"/>
        <v>1526.8386842105265</v>
      </c>
      <c r="P8" s="6">
        <f t="shared" si="3"/>
        <v>1585.9025675675675</v>
      </c>
      <c r="Q8" s="6">
        <f t="shared" si="3"/>
        <v>1506.7124503311256</v>
      </c>
      <c r="R8" s="6">
        <f t="shared" si="3"/>
        <v>1535.1324</v>
      </c>
      <c r="S8" s="6">
        <f t="shared" si="3"/>
        <v>1531.5871710526317</v>
      </c>
      <c r="T8" s="6">
        <f t="shared" si="3"/>
        <v>1696.7539864864864</v>
      </c>
      <c r="U8" s="6">
        <f t="shared" si="3"/>
        <v>1471.9627586206898</v>
      </c>
      <c r="V8" s="6">
        <f t="shared" si="3"/>
        <v>1475.3385034013606</v>
      </c>
      <c r="W8" s="6">
        <f t="shared" si="3"/>
        <v>1505.4904964539007</v>
      </c>
      <c r="X8" s="6">
        <f t="shared" si="3"/>
        <v>1597.1243243243243</v>
      </c>
      <c r="Y8" s="6">
        <f t="shared" si="3"/>
        <v>1637.8388079470199</v>
      </c>
      <c r="Z8" s="6">
        <f t="shared" si="3"/>
        <v>1593.7818791946308</v>
      </c>
      <c r="AA8" s="6">
        <f t="shared" si="3"/>
        <v>1606.2022058823529</v>
      </c>
      <c r="AB8" s="6">
        <f t="shared" si="3"/>
        <v>1696.2828225806452</v>
      </c>
      <c r="AC8" s="6">
        <f t="shared" si="3"/>
        <v>1532.318</v>
      </c>
      <c r="AD8" s="6">
        <f>IF(AD6=0,0,AD11/AD6)</f>
        <v>0</v>
      </c>
      <c r="AE8" s="6">
        <f>IF(AE6=0,0,AE11/AE6)</f>
        <v>0</v>
      </c>
      <c r="AF8" s="6">
        <f>IF(AF6=0,0,AF11/AF6)</f>
        <v>0</v>
      </c>
      <c r="AG8" s="6">
        <f>IF(AG6=0,0,AG11/AG6)</f>
        <v>0</v>
      </c>
    </row>
    <row r="9" spans="1:33">
      <c r="A9" s="4" t="s">
        <v>6</v>
      </c>
      <c r="B9" s="6">
        <f>IF(B11=0,0,B11/B3)</f>
        <v>1431.667075768579</v>
      </c>
      <c r="C9" s="6">
        <f t="shared" ref="C9:AC9" si="4">IF(C11=0,0,C11/C3)</f>
        <v>1291.7482352941176</v>
      </c>
      <c r="D9" s="6">
        <f t="shared" si="4"/>
        <v>1353.7466013071896</v>
      </c>
      <c r="E9" s="6">
        <f t="shared" si="4"/>
        <v>1185.3249019607842</v>
      </c>
      <c r="F9" s="6">
        <f t="shared" si="4"/>
        <v>1348.659411764706</v>
      </c>
      <c r="G9" s="6">
        <f t="shared" si="4"/>
        <v>1194.5398039215686</v>
      </c>
      <c r="H9" s="6">
        <f t="shared" si="4"/>
        <v>1323.8939869281046</v>
      </c>
      <c r="I9" s="6">
        <f t="shared" si="4"/>
        <v>1249.2901307189543</v>
      </c>
      <c r="J9" s="6">
        <f t="shared" si="4"/>
        <v>1424.8840522875817</v>
      </c>
      <c r="K9" s="6">
        <f t="shared" si="4"/>
        <v>1499.133725490196</v>
      </c>
      <c r="L9" s="6">
        <f t="shared" si="4"/>
        <v>1378.6948366013071</v>
      </c>
      <c r="M9" s="6">
        <f t="shared" si="4"/>
        <v>1590.614248366013</v>
      </c>
      <c r="N9" s="6">
        <f t="shared" si="4"/>
        <v>1590.7796078431372</v>
      </c>
      <c r="O9" s="6">
        <f t="shared" si="4"/>
        <v>1516.8593464052287</v>
      </c>
      <c r="P9" s="6">
        <f t="shared" si="4"/>
        <v>1534.0756862745097</v>
      </c>
      <c r="Q9" s="6">
        <f t="shared" si="4"/>
        <v>1487.016862745098</v>
      </c>
      <c r="R9" s="6">
        <f t="shared" si="4"/>
        <v>1505.0317647058823</v>
      </c>
      <c r="S9" s="6">
        <f t="shared" si="4"/>
        <v>1521.5767973856209</v>
      </c>
      <c r="T9" s="6">
        <f t="shared" si="4"/>
        <v>1641.3045098039215</v>
      </c>
      <c r="U9" s="6">
        <f t="shared" si="4"/>
        <v>1394.9973856209151</v>
      </c>
      <c r="V9" s="6">
        <f t="shared" si="4"/>
        <v>1417.4820915032681</v>
      </c>
      <c r="W9" s="6">
        <f t="shared" si="4"/>
        <v>1387.4128104575163</v>
      </c>
      <c r="X9" s="6">
        <f t="shared" si="4"/>
        <v>1544.9307189542483</v>
      </c>
      <c r="Y9" s="6">
        <f t="shared" si="4"/>
        <v>1616.4291503267973</v>
      </c>
      <c r="Z9" s="6">
        <f t="shared" si="4"/>
        <v>1552.1143790849674</v>
      </c>
      <c r="AA9" s="6">
        <f t="shared" si="4"/>
        <v>1427.7352941176471</v>
      </c>
      <c r="AB9" s="6">
        <f t="shared" si="4"/>
        <v>1374.7651633986929</v>
      </c>
      <c r="AC9" s="6">
        <f t="shared" si="4"/>
        <v>1301.96954248366</v>
      </c>
      <c r="AD9" s="6">
        <f>IF(AD11=0,0,AD11/AD3)</f>
        <v>0</v>
      </c>
      <c r="AE9" s="6">
        <f>IF(AE11=0,0,AE11/AE3)</f>
        <v>0</v>
      </c>
      <c r="AF9" s="6">
        <f>IF(AF11=0,0,AF11/AF3)</f>
        <v>0</v>
      </c>
      <c r="AG9" s="6">
        <f>IF(AG11=0,0,AG11/AG3)</f>
        <v>0</v>
      </c>
    </row>
    <row r="10" spans="1:33" ht="20.100000000000001" customHeight="1">
      <c r="A10" s="21" t="s">
        <v>23</v>
      </c>
      <c r="B10" s="29"/>
      <c r="C10" s="29">
        <v>-2292597.54</v>
      </c>
      <c r="D10" s="29">
        <f>C25</f>
        <v>-2154079.06</v>
      </c>
      <c r="E10" s="29">
        <f t="shared" ref="E10:AC10" si="5">D25</f>
        <v>-2330271.8000000003</v>
      </c>
      <c r="F10" s="29">
        <f t="shared" si="5"/>
        <v>-2477669.41</v>
      </c>
      <c r="G10" s="29">
        <f t="shared" si="5"/>
        <v>-2460619.52</v>
      </c>
      <c r="H10" s="29">
        <f t="shared" si="5"/>
        <v>-2466318.23</v>
      </c>
      <c r="I10" s="29">
        <f t="shared" si="5"/>
        <v>-2416871.4500000002</v>
      </c>
      <c r="J10" s="29">
        <f t="shared" si="5"/>
        <v>-2630086.0499999998</v>
      </c>
      <c r="K10" s="29">
        <f t="shared" si="5"/>
        <v>-2592887.15</v>
      </c>
      <c r="L10" s="29">
        <f t="shared" si="5"/>
        <v>-2490168.77</v>
      </c>
      <c r="M10" s="29">
        <f t="shared" si="5"/>
        <v>-2502329.46</v>
      </c>
      <c r="N10" s="29">
        <f t="shared" si="5"/>
        <v>-2464555.48</v>
      </c>
      <c r="O10" s="29">
        <f t="shared" si="5"/>
        <v>-2602130.6</v>
      </c>
      <c r="P10" s="29">
        <f t="shared" si="5"/>
        <v>-2595056.16</v>
      </c>
      <c r="Q10" s="29">
        <f t="shared" si="5"/>
        <v>-2617081.58</v>
      </c>
      <c r="R10" s="29">
        <f t="shared" si="5"/>
        <v>-2640188</v>
      </c>
      <c r="S10" s="29">
        <f t="shared" si="5"/>
        <v>-2494716.73</v>
      </c>
      <c r="T10" s="29">
        <f t="shared" si="5"/>
        <v>-2306030.48</v>
      </c>
      <c r="U10" s="29">
        <f t="shared" si="5"/>
        <v>-2255152.5499999998</v>
      </c>
      <c r="V10" s="29">
        <f t="shared" si="5"/>
        <v>-2182902.92</v>
      </c>
      <c r="W10" s="29">
        <f t="shared" si="5"/>
        <v>-3644473.16</v>
      </c>
      <c r="X10" s="29">
        <f t="shared" si="5"/>
        <v>-3576186.24</v>
      </c>
      <c r="Y10" s="29">
        <f t="shared" si="5"/>
        <v>-3496959.5400000005</v>
      </c>
      <c r="Z10" s="29">
        <f t="shared" si="5"/>
        <v>-3552255.8800000004</v>
      </c>
      <c r="AA10" s="29">
        <f t="shared" si="5"/>
        <v>-3477957.5400000005</v>
      </c>
      <c r="AB10" s="29">
        <f t="shared" si="5"/>
        <v>-3627629.0400000005</v>
      </c>
      <c r="AC10" s="29">
        <f t="shared" si="5"/>
        <v>-3598544.9700000007</v>
      </c>
      <c r="AD10" s="29">
        <f>AC25</f>
        <v>-3547027.5200000009</v>
      </c>
      <c r="AE10" s="29">
        <f>AD25</f>
        <v>-3547027.5200000009</v>
      </c>
      <c r="AF10" s="29">
        <f>AE25</f>
        <v>-3547027.5200000009</v>
      </c>
      <c r="AG10" s="29">
        <f>AF25</f>
        <v>-3547027.5200000009</v>
      </c>
    </row>
    <row r="11" spans="1:33">
      <c r="A11" s="4" t="s">
        <v>8</v>
      </c>
      <c r="B11" s="23">
        <f>SUM(C11:AG11)</f>
        <v>5914216.6900000004</v>
      </c>
      <c r="C11" s="23">
        <v>197637.48</v>
      </c>
      <c r="D11" s="23">
        <v>207123.23</v>
      </c>
      <c r="E11" s="23">
        <v>181354.71</v>
      </c>
      <c r="F11" s="23">
        <v>206344.89</v>
      </c>
      <c r="G11" s="23">
        <v>182764.59</v>
      </c>
      <c r="H11" s="23">
        <v>202555.78</v>
      </c>
      <c r="I11" s="23">
        <v>191141.39</v>
      </c>
      <c r="J11" s="23">
        <v>218007.26</v>
      </c>
      <c r="K11" s="23">
        <v>229367.46</v>
      </c>
      <c r="L11" s="23">
        <v>210940.31</v>
      </c>
      <c r="M11" s="23">
        <v>243363.98</v>
      </c>
      <c r="N11" s="23">
        <v>243389.28</v>
      </c>
      <c r="O11" s="23">
        <v>232079.48</v>
      </c>
      <c r="P11" s="23">
        <v>234713.58</v>
      </c>
      <c r="Q11" s="23">
        <v>227513.58</v>
      </c>
      <c r="R11" s="23">
        <v>230269.86</v>
      </c>
      <c r="S11" s="23">
        <v>232801.25</v>
      </c>
      <c r="T11" s="23">
        <v>251119.59</v>
      </c>
      <c r="U11" s="23">
        <v>213434.6</v>
      </c>
      <c r="V11" s="23">
        <v>216874.76</v>
      </c>
      <c r="W11" s="23">
        <v>212274.16</v>
      </c>
      <c r="X11" s="23">
        <v>236374.39999999999</v>
      </c>
      <c r="Y11" s="23">
        <v>247313.66</v>
      </c>
      <c r="Z11" s="23">
        <v>237473.5</v>
      </c>
      <c r="AA11" s="23">
        <v>218443.5</v>
      </c>
      <c r="AB11" s="23">
        <v>210339.07</v>
      </c>
      <c r="AC11" s="23">
        <v>199201.34</v>
      </c>
      <c r="AD11" s="23"/>
      <c r="AE11" s="23"/>
      <c r="AF11" s="23"/>
      <c r="AG11" s="23"/>
    </row>
    <row r="12" spans="1:33">
      <c r="A12" s="4" t="s">
        <v>9</v>
      </c>
      <c r="B12" s="23">
        <f>SUM(C12:AG12)</f>
        <v>292456</v>
      </c>
      <c r="C12" s="23">
        <f>1625+20+8400</f>
        <v>10045</v>
      </c>
      <c r="D12" s="23">
        <f>915+119+8500</f>
        <v>9534</v>
      </c>
      <c r="E12" s="23">
        <f>1350+120+6600</f>
        <v>8070</v>
      </c>
      <c r="F12" s="23">
        <f>1200+8000</f>
        <v>9200</v>
      </c>
      <c r="G12" s="23">
        <f>2441+20+8300</f>
        <v>10761</v>
      </c>
      <c r="H12" s="23">
        <f>1201+9600</f>
        <v>10801</v>
      </c>
      <c r="I12" s="23">
        <f>2323+293+9400</f>
        <v>12016</v>
      </c>
      <c r="J12" s="23">
        <f>1900+149+9900</f>
        <v>11949</v>
      </c>
      <c r="K12" s="23">
        <f>1232+10200</f>
        <v>11432</v>
      </c>
      <c r="L12" s="23">
        <f>1276+59+9700</f>
        <v>11035</v>
      </c>
      <c r="M12" s="23">
        <f>1004+10500</f>
        <v>11504</v>
      </c>
      <c r="N12" s="23">
        <f>2031+34+10900</f>
        <v>12965</v>
      </c>
      <c r="O12" s="23">
        <f>1599+10600</f>
        <v>12199</v>
      </c>
      <c r="P12" s="23">
        <f>1540+108+9700</f>
        <v>11348</v>
      </c>
      <c r="Q12" s="23">
        <f>1500+59+9500</f>
        <v>11059</v>
      </c>
      <c r="R12" s="23">
        <f>3138+437+9600</f>
        <v>13175</v>
      </c>
      <c r="S12" s="23">
        <f>1934+109+9600</f>
        <v>11643</v>
      </c>
      <c r="T12" s="23">
        <f>970+20+9500</f>
        <v>10490</v>
      </c>
      <c r="U12" s="23">
        <f>2240+89+9400</f>
        <v>11729</v>
      </c>
      <c r="V12" s="23">
        <f>1405+9300</f>
        <v>10705</v>
      </c>
      <c r="W12" s="23">
        <f>869+79+8200</f>
        <v>9148</v>
      </c>
      <c r="X12" s="23">
        <f>1320+99+9100</f>
        <v>10519</v>
      </c>
      <c r="Y12" s="23">
        <f>1580+79+10200</f>
        <v>11859</v>
      </c>
      <c r="Z12" s="23">
        <f>340+59+10100</f>
        <v>10499</v>
      </c>
      <c r="AA12" s="23">
        <f>895+8600</f>
        <v>9495</v>
      </c>
      <c r="AB12" s="23">
        <f>929+8100</f>
        <v>9029</v>
      </c>
      <c r="AC12" s="23">
        <f>1108+39+9100</f>
        <v>10247</v>
      </c>
      <c r="AD12" s="23"/>
      <c r="AE12" s="23"/>
      <c r="AF12" s="23"/>
      <c r="AG12" s="23"/>
    </row>
    <row r="13" spans="1:33">
      <c r="A13" s="8" t="s">
        <v>10</v>
      </c>
      <c r="B13" s="23">
        <f>SUM(C13:AG13)</f>
        <v>157854.00000000003</v>
      </c>
      <c r="C13" s="24">
        <f>212539.48-C12-C11</f>
        <v>4857</v>
      </c>
      <c r="D13" s="24">
        <f>224157.23-D12-D11</f>
        <v>7500</v>
      </c>
      <c r="E13" s="24">
        <f>200129.71-E12-E11</f>
        <v>10705</v>
      </c>
      <c r="F13" s="24">
        <f>214679.89-F12-F11</f>
        <v>-865</v>
      </c>
      <c r="G13" s="24">
        <f>199460.59-G12-G11</f>
        <v>5935</v>
      </c>
      <c r="H13" s="24">
        <f>220791.78-H12-H11</f>
        <v>7435</v>
      </c>
      <c r="I13" s="24">
        <f>210435.39-I12-I11</f>
        <v>7278</v>
      </c>
      <c r="J13" s="24">
        <f>232661.26-J12-J11</f>
        <v>2705</v>
      </c>
      <c r="K13" s="23">
        <f>246904.46-K12-K11</f>
        <v>6105</v>
      </c>
      <c r="L13" s="23">
        <f>229411.31-L12-L11</f>
        <v>7436</v>
      </c>
      <c r="M13" s="23">
        <f>257937.98-M12-M11</f>
        <v>3070</v>
      </c>
      <c r="N13" s="23">
        <f>265437.28-N12-N11</f>
        <v>9083.0000000000291</v>
      </c>
      <c r="O13" s="23">
        <f>251648.48-O12-O11</f>
        <v>7370</v>
      </c>
      <c r="P13" s="23">
        <f>251901.58-P12-P11</f>
        <v>5840</v>
      </c>
      <c r="Q13" s="23">
        <f>243232.58-Q12-Q11</f>
        <v>4660</v>
      </c>
      <c r="R13" s="23">
        <f>248204.86-R12-R11</f>
        <v>4760</v>
      </c>
      <c r="S13" s="23">
        <f>252139.25-S12-S11</f>
        <v>7695</v>
      </c>
      <c r="T13" s="23">
        <f>263614.59-T12-T11</f>
        <v>2005.0000000000291</v>
      </c>
      <c r="U13" s="23">
        <f>231653.6-U12-U11</f>
        <v>6490</v>
      </c>
      <c r="V13" s="23">
        <f>230819.76-V12-V11</f>
        <v>3240</v>
      </c>
      <c r="W13" s="23">
        <f>230277.16-W12-W11</f>
        <v>8855</v>
      </c>
      <c r="X13" s="23">
        <f>249948.4-X11-X12</f>
        <v>3055</v>
      </c>
      <c r="Y13" s="23">
        <f>274017.66-Y12-Y11</f>
        <v>14844.999999999971</v>
      </c>
      <c r="Z13" s="23">
        <f>255962.5-Z11-Z12</f>
        <v>7990</v>
      </c>
      <c r="AA13" s="23">
        <f>232723.5-AA11-AA12</f>
        <v>4785</v>
      </c>
      <c r="AB13" s="23">
        <f>221633.07-AB12-AB11</f>
        <v>2265</v>
      </c>
      <c r="AC13" s="23">
        <f>212203.34-AC11-AC12</f>
        <v>2755</v>
      </c>
      <c r="AD13" s="23"/>
      <c r="AE13" s="23"/>
      <c r="AF13" s="23"/>
      <c r="AG13" s="23"/>
    </row>
    <row r="14" spans="1:33" ht="20.100000000000001" customHeight="1">
      <c r="A14" s="10" t="s">
        <v>14</v>
      </c>
      <c r="B14" s="18">
        <f>SUM(B11:B13)</f>
        <v>6364526.6900000004</v>
      </c>
      <c r="C14" s="18">
        <f>SUM(C11:C13)</f>
        <v>212539.48</v>
      </c>
      <c r="D14" s="18">
        <f t="shared" ref="D14:AC14" si="6">SUM(D11:D13)</f>
        <v>224157.23</v>
      </c>
      <c r="E14" s="18">
        <f t="shared" si="6"/>
        <v>200129.71</v>
      </c>
      <c r="F14" s="18">
        <f t="shared" si="6"/>
        <v>214679.89</v>
      </c>
      <c r="G14" s="18">
        <f t="shared" si="6"/>
        <v>199460.59</v>
      </c>
      <c r="H14" s="18">
        <f t="shared" si="6"/>
        <v>220791.78</v>
      </c>
      <c r="I14" s="18">
        <f t="shared" si="6"/>
        <v>210435.39</v>
      </c>
      <c r="J14" s="18">
        <f t="shared" si="6"/>
        <v>232661.26</v>
      </c>
      <c r="K14" s="18">
        <f t="shared" si="6"/>
        <v>246904.46</v>
      </c>
      <c r="L14" s="18">
        <f t="shared" si="6"/>
        <v>229411.31</v>
      </c>
      <c r="M14" s="18">
        <f t="shared" si="6"/>
        <v>257937.98</v>
      </c>
      <c r="N14" s="18">
        <f t="shared" si="6"/>
        <v>265437.28000000003</v>
      </c>
      <c r="O14" s="18">
        <f t="shared" si="6"/>
        <v>251648.48</v>
      </c>
      <c r="P14" s="18">
        <f t="shared" si="6"/>
        <v>251901.58</v>
      </c>
      <c r="Q14" s="18">
        <f t="shared" si="6"/>
        <v>243232.58</v>
      </c>
      <c r="R14" s="18">
        <f t="shared" si="6"/>
        <v>248204.86</v>
      </c>
      <c r="S14" s="18">
        <f t="shared" si="6"/>
        <v>252139.25</v>
      </c>
      <c r="T14" s="18">
        <f t="shared" si="6"/>
        <v>263614.59000000003</v>
      </c>
      <c r="U14" s="18">
        <f t="shared" si="6"/>
        <v>231653.6</v>
      </c>
      <c r="V14" s="18">
        <f t="shared" si="6"/>
        <v>230819.76</v>
      </c>
      <c r="W14" s="18">
        <f t="shared" si="6"/>
        <v>230277.16</v>
      </c>
      <c r="X14" s="18">
        <f t="shared" si="6"/>
        <v>249948.4</v>
      </c>
      <c r="Y14" s="18">
        <f t="shared" si="6"/>
        <v>274017.65999999997</v>
      </c>
      <c r="Z14" s="18">
        <f t="shared" si="6"/>
        <v>255962.5</v>
      </c>
      <c r="AA14" s="18">
        <f t="shared" si="6"/>
        <v>232723.5</v>
      </c>
      <c r="AB14" s="18">
        <f t="shared" si="6"/>
        <v>221633.07</v>
      </c>
      <c r="AC14" s="18">
        <f t="shared" si="6"/>
        <v>212203.34</v>
      </c>
      <c r="AD14" s="18">
        <f>SUM(AD11:AD13)</f>
        <v>0</v>
      </c>
      <c r="AE14" s="18">
        <f>SUM(AE11:AE13)</f>
        <v>0</v>
      </c>
      <c r="AF14" s="18">
        <f>SUM(AF11:AF13)</f>
        <v>0</v>
      </c>
      <c r="AG14" s="18">
        <f>SUM(AG11:AG13)</f>
        <v>0</v>
      </c>
    </row>
    <row r="15" spans="1:33">
      <c r="A15" s="16" t="s">
        <v>15</v>
      </c>
      <c r="B15" s="23">
        <f t="shared" ref="B15:B23" si="7">SUM(C15:AG15)</f>
        <v>1533339</v>
      </c>
      <c r="C15" s="23">
        <f>4169+17000</f>
        <v>21169</v>
      </c>
      <c r="D15" s="23">
        <f>36095+11000</f>
        <v>47095</v>
      </c>
      <c r="E15" s="23">
        <f>50660+184100-7000</f>
        <v>227760</v>
      </c>
      <c r="F15" s="23">
        <f>5510+23400-4990</f>
        <v>23920</v>
      </c>
      <c r="G15" s="23">
        <f>12806+95800</f>
        <v>108606</v>
      </c>
      <c r="H15" s="23">
        <f>63270+4200-1500</f>
        <v>65970</v>
      </c>
      <c r="I15" s="23">
        <f>11492+4100-11000</f>
        <v>4592</v>
      </c>
      <c r="J15" s="23">
        <f>22699+28800</f>
        <v>51499</v>
      </c>
      <c r="K15" s="23">
        <f>70265+3000-2400</f>
        <v>70865</v>
      </c>
      <c r="L15" s="23">
        <f>40415+4800-1000-5000</f>
        <v>39215</v>
      </c>
      <c r="M15" s="23">
        <f>10994+17400-1000-2500</f>
        <v>24894</v>
      </c>
      <c r="N15" s="23">
        <f>61610+3900-25950</f>
        <v>39560</v>
      </c>
      <c r="O15" s="23">
        <f>8344+12300-2000</f>
        <v>18644</v>
      </c>
      <c r="P15" s="23">
        <f>62937+10500-1000</f>
        <v>72437</v>
      </c>
      <c r="Q15" s="23">
        <f>8704+32000</f>
        <v>40704</v>
      </c>
      <c r="R15" s="23">
        <f>7785+5600-2000</f>
        <v>11385</v>
      </c>
      <c r="S15" s="23">
        <f>38943+1000</f>
        <v>39943</v>
      </c>
      <c r="T15" s="23">
        <f>1310+2900-1000-1000</f>
        <v>2210</v>
      </c>
      <c r="U15" s="23">
        <f>60544+6400</f>
        <v>66944</v>
      </c>
      <c r="V15" s="23">
        <f>73690+2000-500</f>
        <v>75190</v>
      </c>
      <c r="W15" s="23">
        <f>56364+23300</f>
        <v>79664</v>
      </c>
      <c r="X15" s="23">
        <f>25324+24750-3975</f>
        <v>46099</v>
      </c>
      <c r="Y15" s="23">
        <f>15044+9750-9600</f>
        <v>15194</v>
      </c>
      <c r="Z15" s="23">
        <f>116940+26600-3716</f>
        <v>139824</v>
      </c>
      <c r="AA15" s="23">
        <f>142050+6000-500</f>
        <v>147550</v>
      </c>
      <c r="AB15" s="23">
        <f>34174+14400-13600</f>
        <v>34974</v>
      </c>
      <c r="AC15" s="23">
        <f>3832+13600</f>
        <v>17432</v>
      </c>
      <c r="AD15" s="23"/>
      <c r="AE15" s="23"/>
      <c r="AF15" s="23"/>
      <c r="AG15" s="23"/>
    </row>
    <row r="16" spans="1:33">
      <c r="A16" s="16" t="s">
        <v>16</v>
      </c>
      <c r="B16" s="23">
        <f t="shared" si="7"/>
        <v>3521149.040000001</v>
      </c>
      <c r="C16" s="23">
        <f>23297+12000</f>
        <v>35297</v>
      </c>
      <c r="D16" s="23">
        <f>161975+14801.35+46531.29+51500</f>
        <v>274807.64</v>
      </c>
      <c r="E16" s="23">
        <f>59200+28340.64+22600</f>
        <v>110140.64</v>
      </c>
      <c r="F16" s="23">
        <f>88560+22750</f>
        <v>111310</v>
      </c>
      <c r="G16" s="23">
        <f>14890+76963.3+14000</f>
        <v>105853.3</v>
      </c>
      <c r="H16" s="23">
        <f>45850+41200+3000</f>
        <v>90050</v>
      </c>
      <c r="I16" s="23">
        <f>121000+152040+53000</f>
        <v>326040</v>
      </c>
      <c r="J16" s="23">
        <f>16200+62163.36+16200</f>
        <v>94563.36</v>
      </c>
      <c r="K16" s="23">
        <f>21000+28521.08+10000+7800</f>
        <v>67321.08</v>
      </c>
      <c r="L16" s="23">
        <f>34800+47997.6+59599.4</f>
        <v>142397</v>
      </c>
      <c r="M16" s="23">
        <f>68300+26000+20300+14800</f>
        <v>129400</v>
      </c>
      <c r="N16" s="23">
        <f>239693+59440+7800+11999.4</f>
        <v>318932.40000000002</v>
      </c>
      <c r="O16" s="23">
        <f>149350+18080.04+45600+14000</f>
        <v>227030.04</v>
      </c>
      <c r="P16" s="23">
        <f>45000+66500+4000+30000</f>
        <v>145500</v>
      </c>
      <c r="Q16" s="23">
        <f>84000+17100+14800+46300</f>
        <v>162200</v>
      </c>
      <c r="R16" s="23">
        <f>26318.59+7400</f>
        <v>33718.589999999997</v>
      </c>
      <c r="S16" s="23">
        <f>1410+8600</f>
        <v>10010</v>
      </c>
      <c r="T16" s="23">
        <f>5000+63660+2000+30400</f>
        <v>101060</v>
      </c>
      <c r="U16" s="23">
        <f>45200+10000+23100</f>
        <v>78300</v>
      </c>
      <c r="V16" s="23">
        <f>2200+20000+12200</f>
        <v>34400</v>
      </c>
      <c r="W16" s="23">
        <f>22200+69126.24+9600</f>
        <v>100926.24</v>
      </c>
      <c r="X16" s="23">
        <f>33602.7+14000+6600</f>
        <v>54202.7</v>
      </c>
      <c r="Y16" s="23">
        <f>128830+4480+3510+11800+42800+70200</f>
        <v>261620</v>
      </c>
      <c r="Z16" s="23">
        <f>4540.16+17000+3900</f>
        <v>25440.16</v>
      </c>
      <c r="AA16" s="23">
        <f>115575+49200+48000</f>
        <v>212775</v>
      </c>
      <c r="AB16" s="23">
        <f>100800+7800+44600</f>
        <v>153200</v>
      </c>
      <c r="AC16" s="23">
        <f>104250.09+2000+8403.8</f>
        <v>114653.89</v>
      </c>
      <c r="AD16" s="23"/>
      <c r="AE16" s="23"/>
      <c r="AF16" s="23"/>
      <c r="AG16" s="23"/>
    </row>
    <row r="17" spans="1:33">
      <c r="A17" s="16" t="s">
        <v>17</v>
      </c>
      <c r="B17" s="23">
        <f t="shared" si="7"/>
        <v>1923598</v>
      </c>
      <c r="C17" s="23">
        <v>62400</v>
      </c>
      <c r="D17" s="23"/>
      <c r="E17" s="23"/>
      <c r="F17" s="23"/>
      <c r="G17" s="23">
        <v>42000</v>
      </c>
      <c r="H17" s="23"/>
      <c r="I17" s="23">
        <v>30598</v>
      </c>
      <c r="J17" s="23">
        <v>52000</v>
      </c>
      <c r="K17" s="23"/>
      <c r="L17" s="23"/>
      <c r="M17" s="23">
        <v>12000</v>
      </c>
      <c r="N17" s="23">
        <v>14000</v>
      </c>
      <c r="O17" s="23"/>
      <c r="P17" s="23">
        <v>56200</v>
      </c>
      <c r="Q17" s="23"/>
      <c r="R17" s="23"/>
      <c r="S17" s="23"/>
      <c r="T17" s="23"/>
      <c r="U17" s="23">
        <v>12800</v>
      </c>
      <c r="V17" s="23">
        <v>1584800</v>
      </c>
      <c r="W17" s="23">
        <v>23200</v>
      </c>
      <c r="X17" s="23"/>
      <c r="Y17" s="23"/>
      <c r="Z17" s="23"/>
      <c r="AA17" s="23"/>
      <c r="AB17" s="23"/>
      <c r="AC17" s="23">
        <v>33600</v>
      </c>
      <c r="AD17" s="23"/>
      <c r="AE17" s="23"/>
      <c r="AF17" s="23"/>
      <c r="AG17" s="23"/>
    </row>
    <row r="18" spans="1:33">
      <c r="A18" s="16" t="s">
        <v>18</v>
      </c>
      <c r="B18" s="23">
        <f t="shared" si="7"/>
        <v>437564</v>
      </c>
      <c r="C18" s="23">
        <v>16555</v>
      </c>
      <c r="D18" s="23">
        <v>75874</v>
      </c>
      <c r="E18" s="23"/>
      <c r="F18" s="23"/>
      <c r="G18" s="23"/>
      <c r="H18" s="23">
        <v>46725</v>
      </c>
      <c r="I18" s="23"/>
      <c r="J18" s="23"/>
      <c r="K18" s="23"/>
      <c r="L18" s="23"/>
      <c r="M18" s="23">
        <v>36470</v>
      </c>
      <c r="N18" s="23"/>
      <c r="O18" s="23"/>
      <c r="P18" s="23">
        <v>23390</v>
      </c>
      <c r="Q18" s="23">
        <v>21385</v>
      </c>
      <c r="R18" s="23">
        <v>39830</v>
      </c>
      <c r="S18" s="23"/>
      <c r="T18" s="23">
        <v>65340</v>
      </c>
      <c r="U18" s="23"/>
      <c r="V18" s="23"/>
      <c r="W18" s="23"/>
      <c r="X18" s="23">
        <v>66220</v>
      </c>
      <c r="Y18" s="23"/>
      <c r="Z18" s="23">
        <v>11000</v>
      </c>
      <c r="AA18" s="23">
        <v>22400</v>
      </c>
      <c r="AB18" s="23">
        <v>12375</v>
      </c>
      <c r="AC18" s="23"/>
      <c r="AD18" s="23"/>
      <c r="AE18" s="23"/>
      <c r="AF18" s="23"/>
      <c r="AG18" s="23"/>
    </row>
    <row r="19" spans="1:33">
      <c r="A19" s="16" t="s">
        <v>19</v>
      </c>
      <c r="B19" s="23">
        <f t="shared" si="7"/>
        <v>213645</v>
      </c>
      <c r="C19" s="23"/>
      <c r="D19" s="23">
        <v>8400</v>
      </c>
      <c r="E19" s="23"/>
      <c r="F19" s="23"/>
      <c r="G19" s="23"/>
      <c r="H19" s="23"/>
      <c r="I19" s="23"/>
      <c r="J19" s="23">
        <v>21000</v>
      </c>
      <c r="K19" s="23"/>
      <c r="L19" s="23"/>
      <c r="M19" s="23">
        <v>2500</v>
      </c>
      <c r="N19" s="23">
        <v>11100</v>
      </c>
      <c r="O19" s="23">
        <v>9600</v>
      </c>
      <c r="P19" s="23"/>
      <c r="Q19" s="23"/>
      <c r="R19" s="23"/>
      <c r="S19" s="23"/>
      <c r="T19" s="23"/>
      <c r="U19" s="23"/>
      <c r="V19" s="23"/>
      <c r="W19" s="23"/>
      <c r="X19" s="23"/>
      <c r="Y19" s="23">
        <v>37044</v>
      </c>
      <c r="Z19" s="23">
        <v>78101</v>
      </c>
      <c r="AA19" s="23"/>
      <c r="AB19" s="23">
        <v>25900</v>
      </c>
      <c r="AC19" s="23">
        <v>20000</v>
      </c>
      <c r="AD19" s="23"/>
      <c r="AE19" s="23"/>
      <c r="AF19" s="23"/>
      <c r="AG19" s="23"/>
    </row>
    <row r="20" spans="1:33">
      <c r="A20" s="16" t="s">
        <v>20</v>
      </c>
      <c r="B20" s="23">
        <f t="shared" si="7"/>
        <v>69210.63</v>
      </c>
      <c r="C20" s="23"/>
      <c r="D20" s="23">
        <v>1573.33</v>
      </c>
      <c r="E20" s="23">
        <v>9626.68</v>
      </c>
      <c r="F20" s="23"/>
      <c r="G20" s="23"/>
      <c r="H20" s="23"/>
      <c r="I20" s="23">
        <v>4719.99</v>
      </c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>
        <v>7126.66</v>
      </c>
      <c r="U20" s="23">
        <v>14159.97</v>
      </c>
      <c r="V20" s="23"/>
      <c r="W20" s="23">
        <v>32004</v>
      </c>
      <c r="X20" s="23"/>
      <c r="Y20" s="23"/>
      <c r="Z20" s="23"/>
      <c r="AA20" s="23"/>
      <c r="AB20" s="23"/>
      <c r="AC20" s="23"/>
      <c r="AD20" s="23"/>
      <c r="AE20" s="23"/>
      <c r="AF20" s="23"/>
      <c r="AG20" s="23"/>
    </row>
    <row r="21" spans="1:33">
      <c r="A21" s="16" t="s">
        <v>21</v>
      </c>
      <c r="B21" s="23">
        <f t="shared" si="7"/>
        <v>43850</v>
      </c>
      <c r="C21" s="23"/>
      <c r="D21" s="23"/>
      <c r="E21" s="23"/>
      <c r="F21" s="23"/>
      <c r="G21" s="23"/>
      <c r="H21" s="23"/>
      <c r="I21" s="23"/>
      <c r="J21" s="23"/>
      <c r="K21" s="23"/>
      <c r="L21" s="23">
        <v>20160</v>
      </c>
      <c r="M21" s="23"/>
      <c r="N21" s="23">
        <v>15120</v>
      </c>
      <c r="O21" s="23"/>
      <c r="P21" s="23"/>
      <c r="Q21" s="23"/>
      <c r="R21" s="23"/>
      <c r="S21" s="23">
        <v>2900</v>
      </c>
      <c r="T21" s="23"/>
      <c r="U21" s="23"/>
      <c r="V21" s="23"/>
      <c r="W21" s="23"/>
      <c r="X21" s="23"/>
      <c r="Y21" s="23"/>
      <c r="Z21" s="23"/>
      <c r="AA21" s="23">
        <v>5670</v>
      </c>
      <c r="AB21" s="23"/>
      <c r="AC21" s="23"/>
      <c r="AD21" s="23"/>
      <c r="AE21" s="23"/>
      <c r="AF21" s="23"/>
      <c r="AG21" s="23"/>
    </row>
    <row r="22" spans="1:33">
      <c r="A22" s="16" t="s">
        <v>22</v>
      </c>
      <c r="B22" s="23">
        <f t="shared" si="7"/>
        <v>0</v>
      </c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</row>
    <row r="23" spans="1:33">
      <c r="A23" s="17" t="s">
        <v>25</v>
      </c>
      <c r="B23" s="23">
        <f t="shared" si="7"/>
        <v>-123399</v>
      </c>
      <c r="C23" s="24">
        <f>-63400+2000</f>
        <v>-61400</v>
      </c>
      <c r="D23" s="24">
        <f>-10400+3000</f>
        <v>-7400</v>
      </c>
      <c r="E23" s="24">
        <f>-5000+5000</f>
        <v>0</v>
      </c>
      <c r="F23" s="24">
        <f>62400</f>
        <v>62400</v>
      </c>
      <c r="G23" s="24">
        <f>-73800+22500</f>
        <v>-51300</v>
      </c>
      <c r="H23" s="24">
        <f>-44200+12800</f>
        <v>-31400</v>
      </c>
      <c r="I23" s="24">
        <f>-5000+62700</f>
        <v>57700</v>
      </c>
      <c r="J23" s="23">
        <f>-106800+83200</f>
        <v>-23600</v>
      </c>
      <c r="K23" s="24">
        <f>-10000+16000</f>
        <v>6000</v>
      </c>
      <c r="L23" s="24">
        <f>5000+34800</f>
        <v>39800</v>
      </c>
      <c r="M23" s="24">
        <f>-6500+21400</f>
        <v>14900</v>
      </c>
      <c r="N23" s="24">
        <f>-30700+35000</f>
        <v>4300</v>
      </c>
      <c r="O23" s="24">
        <f>-18700+8000</f>
        <v>-10700</v>
      </c>
      <c r="P23" s="24">
        <f>-31700+8100</f>
        <v>-23600</v>
      </c>
      <c r="Q23" s="24">
        <f>-38000+80050</f>
        <v>42050</v>
      </c>
      <c r="R23" s="24">
        <v>17800</v>
      </c>
      <c r="S23" s="24">
        <f>-1000+11600</f>
        <v>10600</v>
      </c>
      <c r="T23" s="24">
        <f>-2000+39000</f>
        <v>37000</v>
      </c>
      <c r="U23" s="24">
        <v>-12800</v>
      </c>
      <c r="V23" s="24">
        <v>-2000</v>
      </c>
      <c r="W23" s="24">
        <v>-73804</v>
      </c>
      <c r="X23" s="24">
        <f>-10600+14800</f>
        <v>4200</v>
      </c>
      <c r="Y23" s="24">
        <f>-37944+53400</f>
        <v>15456</v>
      </c>
      <c r="Z23" s="24">
        <f>-79101+6400</f>
        <v>-72701</v>
      </c>
      <c r="AA23" s="24">
        <v>-6000</v>
      </c>
      <c r="AB23" s="24">
        <f>-37900+4000</f>
        <v>-33900</v>
      </c>
      <c r="AC23" s="24">
        <f>3600-28600</f>
        <v>-25000</v>
      </c>
      <c r="AD23" s="24"/>
      <c r="AE23" s="24"/>
      <c r="AF23" s="24"/>
      <c r="AG23" s="24"/>
    </row>
    <row r="24" spans="1:33" ht="20.100000000000001" customHeight="1">
      <c r="A24" s="15" t="s">
        <v>11</v>
      </c>
      <c r="B24" s="19">
        <f>SUM(B15:B23)</f>
        <v>7618956.6700000009</v>
      </c>
      <c r="C24" s="19">
        <f>SUM(C15:C23)</f>
        <v>74021</v>
      </c>
      <c r="D24" s="19">
        <f t="shared" ref="D24:U24" si="8">SUM(D15:D23)</f>
        <v>400349.97000000003</v>
      </c>
      <c r="E24" s="19">
        <f t="shared" si="8"/>
        <v>347527.32</v>
      </c>
      <c r="F24" s="19">
        <f t="shared" si="8"/>
        <v>197630</v>
      </c>
      <c r="G24" s="19">
        <f t="shared" si="8"/>
        <v>205159.3</v>
      </c>
      <c r="H24" s="19">
        <f t="shared" si="8"/>
        <v>171345</v>
      </c>
      <c r="I24" s="19">
        <f t="shared" si="8"/>
        <v>423649.99</v>
      </c>
      <c r="J24" s="19">
        <f t="shared" si="8"/>
        <v>195462.36</v>
      </c>
      <c r="K24" s="19">
        <f t="shared" si="8"/>
        <v>144186.08000000002</v>
      </c>
      <c r="L24" s="19">
        <f t="shared" si="8"/>
        <v>241572</v>
      </c>
      <c r="M24" s="19">
        <f t="shared" si="8"/>
        <v>220164</v>
      </c>
      <c r="N24" s="19">
        <f t="shared" si="8"/>
        <v>403012.4</v>
      </c>
      <c r="O24" s="19">
        <f t="shared" si="8"/>
        <v>244574.04</v>
      </c>
      <c r="P24" s="19">
        <f t="shared" si="8"/>
        <v>273927</v>
      </c>
      <c r="Q24" s="19">
        <f t="shared" si="8"/>
        <v>266339</v>
      </c>
      <c r="R24" s="19">
        <f t="shared" si="8"/>
        <v>102733.59</v>
      </c>
      <c r="S24" s="19">
        <f t="shared" si="8"/>
        <v>63453</v>
      </c>
      <c r="T24" s="19">
        <f t="shared" si="8"/>
        <v>212736.66</v>
      </c>
      <c r="U24" s="19">
        <f t="shared" si="8"/>
        <v>159403.97</v>
      </c>
      <c r="V24" s="19">
        <f>SUM(V15:V23)</f>
        <v>1692390</v>
      </c>
      <c r="W24" s="19">
        <f t="shared" ref="W24:AC24" si="9">SUM(W15:W23)</f>
        <v>161990.24</v>
      </c>
      <c r="X24" s="19">
        <f t="shared" si="9"/>
        <v>170721.7</v>
      </c>
      <c r="Y24" s="19">
        <f t="shared" si="9"/>
        <v>329314</v>
      </c>
      <c r="Z24" s="19">
        <f t="shared" si="9"/>
        <v>181664.16</v>
      </c>
      <c r="AA24" s="19">
        <f t="shared" si="9"/>
        <v>382395</v>
      </c>
      <c r="AB24" s="19">
        <f t="shared" si="9"/>
        <v>192549</v>
      </c>
      <c r="AC24" s="19">
        <f t="shared" si="9"/>
        <v>160685.89000000001</v>
      </c>
      <c r="AD24" s="19">
        <f>SUM(AD15:AD23)</f>
        <v>0</v>
      </c>
      <c r="AE24" s="19">
        <f>SUM(AE15:AE23)</f>
        <v>0</v>
      </c>
      <c r="AF24" s="19">
        <f>SUM(AF15:AF23)</f>
        <v>0</v>
      </c>
      <c r="AG24" s="19">
        <f>SUM(AG15:AG23)</f>
        <v>0</v>
      </c>
    </row>
    <row r="25" spans="1:33" ht="20.100000000000001" customHeight="1" thickBot="1">
      <c r="A25" s="11" t="s">
        <v>24</v>
      </c>
      <c r="B25" s="20">
        <f>B10+B14-B24</f>
        <v>-1254429.9800000004</v>
      </c>
      <c r="C25" s="20">
        <f>C10+C14-C24</f>
        <v>-2154079.06</v>
      </c>
      <c r="D25" s="20">
        <f t="shared" ref="D25:AC25" si="10">D10+D14-D24</f>
        <v>-2330271.8000000003</v>
      </c>
      <c r="E25" s="20">
        <f t="shared" si="10"/>
        <v>-2477669.41</v>
      </c>
      <c r="F25" s="20">
        <f t="shared" si="10"/>
        <v>-2460619.52</v>
      </c>
      <c r="G25" s="20">
        <f t="shared" si="10"/>
        <v>-2466318.23</v>
      </c>
      <c r="H25" s="20">
        <f t="shared" si="10"/>
        <v>-2416871.4500000002</v>
      </c>
      <c r="I25" s="20">
        <f t="shared" si="10"/>
        <v>-2630086.0499999998</v>
      </c>
      <c r="J25" s="20">
        <f t="shared" si="10"/>
        <v>-2592887.15</v>
      </c>
      <c r="K25" s="20">
        <f t="shared" si="10"/>
        <v>-2490168.77</v>
      </c>
      <c r="L25" s="20">
        <f t="shared" si="10"/>
        <v>-2502329.46</v>
      </c>
      <c r="M25" s="20">
        <f t="shared" si="10"/>
        <v>-2464555.48</v>
      </c>
      <c r="N25" s="20">
        <f t="shared" si="10"/>
        <v>-2602130.6</v>
      </c>
      <c r="O25" s="20">
        <f t="shared" si="10"/>
        <v>-2595056.16</v>
      </c>
      <c r="P25" s="20">
        <f t="shared" si="10"/>
        <v>-2617081.58</v>
      </c>
      <c r="Q25" s="20">
        <f t="shared" si="10"/>
        <v>-2640188</v>
      </c>
      <c r="R25" s="20">
        <f t="shared" si="10"/>
        <v>-2494716.73</v>
      </c>
      <c r="S25" s="20">
        <f t="shared" si="10"/>
        <v>-2306030.48</v>
      </c>
      <c r="T25" s="20">
        <f t="shared" si="10"/>
        <v>-2255152.5499999998</v>
      </c>
      <c r="U25" s="20">
        <f t="shared" si="10"/>
        <v>-2182902.92</v>
      </c>
      <c r="V25" s="20">
        <f t="shared" si="10"/>
        <v>-3644473.16</v>
      </c>
      <c r="W25" s="20">
        <f t="shared" si="10"/>
        <v>-3576186.24</v>
      </c>
      <c r="X25" s="20">
        <f t="shared" si="10"/>
        <v>-3496959.5400000005</v>
      </c>
      <c r="Y25" s="20">
        <f t="shared" si="10"/>
        <v>-3552255.8800000004</v>
      </c>
      <c r="Z25" s="20">
        <f t="shared" si="10"/>
        <v>-3477957.5400000005</v>
      </c>
      <c r="AA25" s="20">
        <f t="shared" si="10"/>
        <v>-3627629.0400000005</v>
      </c>
      <c r="AB25" s="20">
        <f t="shared" si="10"/>
        <v>-3598544.9700000007</v>
      </c>
      <c r="AC25" s="20">
        <f t="shared" si="10"/>
        <v>-3547027.5200000009</v>
      </c>
      <c r="AD25" s="20">
        <f>AD10+AD14-AD24</f>
        <v>-3547027.5200000009</v>
      </c>
      <c r="AE25" s="20">
        <f>AE10+AE14-AE24</f>
        <v>-3547027.5200000009</v>
      </c>
      <c r="AF25" s="20">
        <f>AF10+AF14-AF24</f>
        <v>-3547027.5200000009</v>
      </c>
      <c r="AG25" s="20">
        <f>AG10+AG14-AG24</f>
        <v>-3547027.5200000009</v>
      </c>
    </row>
    <row r="26" spans="1:33" ht="15" thickTop="1">
      <c r="A26" s="28"/>
      <c r="B26" s="28"/>
      <c r="C26" s="28"/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</row>
    <row r="27" spans="1:33">
      <c r="A27" s="28"/>
      <c r="B27" s="30"/>
      <c r="C27" s="28"/>
      <c r="D27" s="30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</row>
    <row r="28" spans="1:33">
      <c r="A28" s="28"/>
      <c r="B28" s="28"/>
      <c r="C28" s="30"/>
      <c r="D28" s="28"/>
      <c r="E28" s="28"/>
      <c r="F28" s="30"/>
      <c r="G28" s="30"/>
      <c r="H28" s="28"/>
      <c r="I28" s="30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2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</row>
    <row r="29" spans="1:33">
      <c r="A29" s="28"/>
      <c r="B29" s="30"/>
      <c r="C29" s="28"/>
      <c r="D29" s="30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2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</row>
    <row r="30" spans="1:33">
      <c r="A30" s="28"/>
      <c r="B30" s="28"/>
      <c r="C30" s="28"/>
      <c r="D30" s="28"/>
      <c r="E30" s="28"/>
      <c r="F30" s="28"/>
      <c r="G30" s="28"/>
      <c r="H30" s="28"/>
      <c r="I30" s="30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2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</row>
    <row r="31" spans="1:33">
      <c r="A31" s="28"/>
      <c r="B31" s="28"/>
      <c r="C31" s="30"/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U31" s="28"/>
      <c r="V31" s="22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</row>
    <row r="32" spans="1:33">
      <c r="A32" s="28"/>
      <c r="B32" s="28"/>
      <c r="C32" s="28"/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28"/>
      <c r="U32" s="28"/>
      <c r="V32" s="22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</row>
    <row r="33" spans="1:33">
      <c r="A33" s="28"/>
      <c r="B33" s="28"/>
      <c r="C33" s="28"/>
      <c r="D33" s="28"/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</row>
    <row r="34" spans="1:33">
      <c r="A34" s="28"/>
      <c r="B34" s="28"/>
      <c r="C34" s="28"/>
      <c r="D34" s="28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</row>
    <row r="35" spans="1:33">
      <c r="A35" s="28"/>
      <c r="B35" s="28"/>
      <c r="C35" s="28"/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01</vt:lpstr>
    </vt:vector>
  </TitlesOfParts>
  <Company>CtrlSoft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Front</dc:creator>
  <cp:lastModifiedBy>Front</cp:lastModifiedBy>
  <dcterms:created xsi:type="dcterms:W3CDTF">2013-02-01T06:44:48Z</dcterms:created>
  <dcterms:modified xsi:type="dcterms:W3CDTF">2013-02-28T10:17:24Z</dcterms:modified>
</cp:coreProperties>
</file>