
<file path=[Content_Types].xml><?xml version="1.0" encoding="utf-8"?>
<Types xmlns="http://schemas.openxmlformats.org/package/2006/content-types">
  <Default Extension="ashx" ContentType="image/png"/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itaporn.b\Downloads\"/>
    </mc:Choice>
  </mc:AlternateContent>
  <xr:revisionPtr revIDLastSave="0" documentId="13_ncr:1_{C932913C-4DFC-45C9-BA38-65F51E5E9165}" xr6:coauthVersionLast="47" xr6:coauthVersionMax="47" xr10:uidLastSave="{00000000-0000-0000-0000-000000000000}"/>
  <bookViews>
    <workbookView xWindow="-108" yWindow="-108" windowWidth="23256" windowHeight="12576" activeTab="1" xr2:uid="{D5CCD800-4D5B-4171-8627-7647D14F21C7}"/>
  </bookViews>
  <sheets>
    <sheet name="Data" sheetId="2" r:id="rId1"/>
    <sheet name="Sheet1" sheetId="1" r:id="rId2"/>
  </sheets>
  <definedNames>
    <definedName name="_xlnm.Print_Area" localSheetId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3" i="1" l="1"/>
  <c r="W22" i="1"/>
  <c r="R24" i="1"/>
  <c r="R26" i="1"/>
  <c r="R22" i="1"/>
  <c r="X25" i="1"/>
  <c r="X21" i="1"/>
  <c r="P140" i="1"/>
  <c r="P139" i="1"/>
  <c r="P138" i="1"/>
  <c r="P136" i="1"/>
  <c r="P135" i="1"/>
  <c r="P134" i="1"/>
  <c r="P132" i="1"/>
  <c r="P131" i="1"/>
  <c r="P130" i="1"/>
  <c r="P128" i="1"/>
  <c r="P127" i="1"/>
  <c r="P126" i="1"/>
  <c r="P124" i="1"/>
  <c r="P123" i="1"/>
  <c r="P122" i="1"/>
  <c r="P120" i="1"/>
  <c r="P119" i="1"/>
  <c r="P118" i="1"/>
  <c r="P116" i="1"/>
  <c r="P115" i="1"/>
  <c r="P114" i="1"/>
  <c r="P112" i="1"/>
  <c r="P111" i="1"/>
  <c r="P110" i="1"/>
  <c r="P108" i="1"/>
  <c r="P107" i="1"/>
  <c r="P106" i="1"/>
  <c r="P104" i="1"/>
  <c r="P103" i="1"/>
  <c r="P102" i="1"/>
  <c r="P100" i="1"/>
  <c r="P99" i="1"/>
  <c r="P98" i="1"/>
  <c r="P96" i="1"/>
  <c r="P95" i="1"/>
  <c r="P94" i="1"/>
  <c r="P92" i="1"/>
  <c r="P91" i="1"/>
  <c r="P90" i="1"/>
  <c r="P88" i="1"/>
  <c r="P87" i="1"/>
  <c r="P86" i="1"/>
  <c r="P84" i="1"/>
  <c r="P83" i="1"/>
  <c r="P82" i="1"/>
  <c r="P80" i="1"/>
  <c r="P79" i="1"/>
  <c r="P78" i="1"/>
  <c r="P76" i="1"/>
  <c r="P75" i="1"/>
  <c r="P74" i="1"/>
  <c r="P72" i="1"/>
  <c r="P71" i="1"/>
  <c r="P70" i="1"/>
  <c r="P68" i="1"/>
  <c r="P67" i="1"/>
  <c r="P66" i="1"/>
  <c r="P64" i="1"/>
  <c r="P63" i="1"/>
  <c r="P62" i="1"/>
  <c r="W25" i="1"/>
  <c r="W21" i="1"/>
  <c r="G21" i="1" s="1"/>
  <c r="Y21" i="1" s="1"/>
  <c r="P22" i="1" l="1"/>
  <c r="C27" i="1"/>
  <c r="C22" i="1"/>
  <c r="B21" i="1" s="1"/>
  <c r="E22" i="1" l="1"/>
  <c r="A21" i="1"/>
  <c r="C23" i="1"/>
  <c r="L25" i="1"/>
  <c r="L21" i="1"/>
  <c r="D28" i="1" l="1"/>
  <c r="C28" i="1"/>
  <c r="B28" i="1"/>
  <c r="B27" i="1"/>
  <c r="G26" i="1"/>
  <c r="C26" i="1"/>
  <c r="E26" i="1" s="1"/>
  <c r="B26" i="1"/>
  <c r="H25" i="1"/>
  <c r="G25" i="1"/>
  <c r="Y25" i="1" s="1"/>
  <c r="I25" i="1" l="1"/>
  <c r="B25" i="1"/>
  <c r="J25" i="1"/>
  <c r="P60" i="1"/>
  <c r="P59" i="1"/>
  <c r="P58" i="1"/>
  <c r="P56" i="1"/>
  <c r="P55" i="1"/>
  <c r="P54" i="1"/>
  <c r="P52" i="1"/>
  <c r="P51" i="1"/>
  <c r="P50" i="1"/>
  <c r="P48" i="1"/>
  <c r="P47" i="1"/>
  <c r="P46" i="1"/>
  <c r="P44" i="1"/>
  <c r="P43" i="1"/>
  <c r="P42" i="1"/>
  <c r="P40" i="1"/>
  <c r="P39" i="1"/>
  <c r="P38" i="1"/>
  <c r="P36" i="1"/>
  <c r="P35" i="1"/>
  <c r="P34" i="1"/>
  <c r="P32" i="1"/>
  <c r="P31" i="1"/>
  <c r="P30" i="1"/>
  <c r="V29" i="1"/>
  <c r="P28" i="1"/>
  <c r="P27" i="1"/>
  <c r="P26" i="1"/>
  <c r="A25" i="1"/>
  <c r="P24" i="1"/>
  <c r="D24" i="1"/>
  <c r="C24" i="1"/>
  <c r="B24" i="1"/>
  <c r="P23" i="1"/>
  <c r="B23" i="1"/>
  <c r="G22" i="1"/>
  <c r="B22" i="1"/>
  <c r="H21" i="1"/>
  <c r="L27" i="1" l="1"/>
  <c r="V33" i="1"/>
  <c r="W29" i="1"/>
  <c r="X29" i="1"/>
  <c r="R30" i="1"/>
  <c r="A29" i="1"/>
  <c r="K25" i="1"/>
  <c r="I21" i="1"/>
  <c r="J21" i="1"/>
  <c r="K21" i="1" s="1"/>
  <c r="L23" i="1"/>
  <c r="G30" i="1" l="1"/>
  <c r="C30" i="1"/>
  <c r="E30" i="1" s="1"/>
  <c r="B30" i="1"/>
  <c r="D32" i="1"/>
  <c r="H29" i="1"/>
  <c r="B32" i="1"/>
  <c r="C31" i="1"/>
  <c r="C32" i="1"/>
  <c r="G29" i="1"/>
  <c r="Y29" i="1" s="1"/>
  <c r="B31" i="1"/>
  <c r="L29" i="1"/>
  <c r="J29" i="1"/>
  <c r="K29" i="1" s="1"/>
  <c r="V37" i="1"/>
  <c r="X33" i="1"/>
  <c r="W33" i="1"/>
  <c r="R34" i="1"/>
  <c r="AB25" i="1"/>
  <c r="AB29" i="1"/>
  <c r="AB21" i="1"/>
  <c r="B29" i="1" l="1"/>
  <c r="I29" i="1"/>
  <c r="B34" i="1"/>
  <c r="D36" i="1"/>
  <c r="H33" i="1"/>
  <c r="G34" i="1"/>
  <c r="C36" i="1"/>
  <c r="G33" i="1"/>
  <c r="Y33" i="1" s="1"/>
  <c r="B36" i="1"/>
  <c r="C35" i="1"/>
  <c r="B35" i="1"/>
  <c r="C34" i="1"/>
  <c r="E34" i="1" s="1"/>
  <c r="I33" i="1"/>
  <c r="L33" i="1"/>
  <c r="B33" i="1"/>
  <c r="L31" i="1"/>
  <c r="AB33" i="1"/>
  <c r="AA33" i="1" s="1"/>
  <c r="L34" i="1" s="1"/>
  <c r="V41" i="1"/>
  <c r="X37" i="1"/>
  <c r="R38" i="1"/>
  <c r="W37" i="1"/>
  <c r="A33" i="1"/>
  <c r="AA29" i="1"/>
  <c r="L30" i="1" s="1"/>
  <c r="AA25" i="1"/>
  <c r="L26" i="1" s="1"/>
  <c r="AA21" i="1"/>
  <c r="L22" i="1" s="1"/>
  <c r="A37" i="1" l="1"/>
  <c r="L35" i="1"/>
  <c r="C40" i="1"/>
  <c r="G37" i="1"/>
  <c r="Y37" i="1" s="1"/>
  <c r="AB37" i="1" s="1"/>
  <c r="B40" i="1"/>
  <c r="C38" i="1"/>
  <c r="E38" i="1" s="1"/>
  <c r="H37" i="1"/>
  <c r="C39" i="1"/>
  <c r="B39" i="1"/>
  <c r="D40" i="1"/>
  <c r="G38" i="1"/>
  <c r="B38" i="1"/>
  <c r="I37" i="1"/>
  <c r="J37" i="1"/>
  <c r="K37" i="1" s="1"/>
  <c r="L37" i="1"/>
  <c r="B37" i="1"/>
  <c r="V45" i="1"/>
  <c r="X41" i="1"/>
  <c r="R42" i="1"/>
  <c r="W41" i="1"/>
  <c r="J33" i="1"/>
  <c r="K33" i="1" s="1"/>
  <c r="AA37" i="1" l="1"/>
  <c r="L38" i="1" s="1"/>
  <c r="C43" i="1"/>
  <c r="C44" i="1"/>
  <c r="B43" i="1"/>
  <c r="G42" i="1"/>
  <c r="C42" i="1"/>
  <c r="E42" i="1" s="1"/>
  <c r="D44" i="1"/>
  <c r="G41" i="1"/>
  <c r="Y41" i="1" s="1"/>
  <c r="B42" i="1"/>
  <c r="H41" i="1"/>
  <c r="B44" i="1"/>
  <c r="L41" i="1"/>
  <c r="B41" i="1"/>
  <c r="A41" i="1"/>
  <c r="V49" i="1"/>
  <c r="X45" i="1"/>
  <c r="R46" i="1"/>
  <c r="W45" i="1"/>
  <c r="AB41" i="1"/>
  <c r="L39" i="1"/>
  <c r="J41" i="1" l="1"/>
  <c r="K41" i="1" s="1"/>
  <c r="I41" i="1"/>
  <c r="V53" i="1"/>
  <c r="R50" i="1"/>
  <c r="W49" i="1"/>
  <c r="X49" i="1"/>
  <c r="G46" i="1"/>
  <c r="C46" i="1"/>
  <c r="E46" i="1" s="1"/>
  <c r="B48" i="1"/>
  <c r="C47" i="1"/>
  <c r="B47" i="1"/>
  <c r="B46" i="1"/>
  <c r="D48" i="1"/>
  <c r="H45" i="1"/>
  <c r="C48" i="1"/>
  <c r="G45" i="1"/>
  <c r="Y45" i="1" s="1"/>
  <c r="I45" i="1"/>
  <c r="L45" i="1"/>
  <c r="A45" i="1"/>
  <c r="L43" i="1"/>
  <c r="AA41" i="1"/>
  <c r="L42" i="1" s="1"/>
  <c r="A49" i="1" l="1"/>
  <c r="L47" i="1"/>
  <c r="AB45" i="1"/>
  <c r="B45" i="1"/>
  <c r="B50" i="1"/>
  <c r="D52" i="1"/>
  <c r="H49" i="1"/>
  <c r="C52" i="1"/>
  <c r="G49" i="1"/>
  <c r="Y49" i="1" s="1"/>
  <c r="B52" i="1"/>
  <c r="C50" i="1"/>
  <c r="E50" i="1" s="1"/>
  <c r="C51" i="1"/>
  <c r="B51" i="1"/>
  <c r="G50" i="1"/>
  <c r="L49" i="1"/>
  <c r="I49" i="1"/>
  <c r="J45" i="1"/>
  <c r="K45" i="1" s="1"/>
  <c r="V57" i="1"/>
  <c r="W53" i="1"/>
  <c r="X53" i="1"/>
  <c r="R54" i="1"/>
  <c r="R58" i="1" l="1"/>
  <c r="W57" i="1"/>
  <c r="V61" i="1"/>
  <c r="X57" i="1"/>
  <c r="C56" i="1"/>
  <c r="G53" i="1"/>
  <c r="Y53" i="1" s="1"/>
  <c r="B56" i="1"/>
  <c r="D56" i="1"/>
  <c r="C55" i="1"/>
  <c r="B55" i="1"/>
  <c r="C54" i="1"/>
  <c r="E54" i="1" s="1"/>
  <c r="B54" i="1"/>
  <c r="G54" i="1"/>
  <c r="H53" i="1"/>
  <c r="L53" i="1"/>
  <c r="J53" i="1"/>
  <c r="K53" i="1" s="1"/>
  <c r="B53" i="1"/>
  <c r="I53" i="1"/>
  <c r="A53" i="1"/>
  <c r="B49" i="1"/>
  <c r="L51" i="1"/>
  <c r="J49" i="1"/>
  <c r="K49" i="1" s="1"/>
  <c r="AB49" i="1"/>
  <c r="AA49" i="1" s="1"/>
  <c r="L50" i="1" s="1"/>
  <c r="AA45" i="1"/>
  <c r="L46" i="1" s="1"/>
  <c r="AB53" i="1" l="1"/>
  <c r="A57" i="1"/>
  <c r="L55" i="1"/>
  <c r="W61" i="1"/>
  <c r="V65" i="1"/>
  <c r="X61" i="1"/>
  <c r="R62" i="1"/>
  <c r="C59" i="1"/>
  <c r="B59" i="1"/>
  <c r="H57" i="1"/>
  <c r="G57" i="1"/>
  <c r="Y57" i="1" s="1"/>
  <c r="G58" i="1"/>
  <c r="C58" i="1"/>
  <c r="E58" i="1" s="1"/>
  <c r="C60" i="1"/>
  <c r="B60" i="1"/>
  <c r="B58" i="1"/>
  <c r="D60" i="1"/>
  <c r="L57" i="1"/>
  <c r="AA53" i="1"/>
  <c r="L54" i="1" s="1"/>
  <c r="W65" i="1" l="1"/>
  <c r="X65" i="1"/>
  <c r="V69" i="1"/>
  <c r="R66" i="1"/>
  <c r="B57" i="1"/>
  <c r="J57" i="1"/>
  <c r="K57" i="1" s="1"/>
  <c r="C62" i="1"/>
  <c r="E62" i="1" s="1"/>
  <c r="D64" i="1"/>
  <c r="G62" i="1"/>
  <c r="B62" i="1"/>
  <c r="B63" i="1"/>
  <c r="L61" i="1"/>
  <c r="C64" i="1"/>
  <c r="H61" i="1"/>
  <c r="B64" i="1"/>
  <c r="G61" i="1"/>
  <c r="Y61" i="1" s="1"/>
  <c r="C63" i="1"/>
  <c r="B61" i="1"/>
  <c r="A61" i="1"/>
  <c r="I57" i="1"/>
  <c r="L59" i="1"/>
  <c r="AA57" i="1"/>
  <c r="L58" i="1" s="1"/>
  <c r="AB57" i="1"/>
  <c r="L63" i="1" l="1"/>
  <c r="I61" i="1"/>
  <c r="AB61" i="1"/>
  <c r="AA61" i="1"/>
  <c r="L62" i="1" s="1"/>
  <c r="J61" i="1"/>
  <c r="K61" i="1" s="1"/>
  <c r="W69" i="1"/>
  <c r="X69" i="1"/>
  <c r="V73" i="1"/>
  <c r="R70" i="1"/>
  <c r="C68" i="1"/>
  <c r="H65" i="1"/>
  <c r="B66" i="1"/>
  <c r="B68" i="1"/>
  <c r="G65" i="1"/>
  <c r="Y65" i="1" s="1"/>
  <c r="AB65" i="1" s="1"/>
  <c r="C67" i="1"/>
  <c r="L65" i="1"/>
  <c r="B67" i="1"/>
  <c r="G66" i="1"/>
  <c r="C66" i="1"/>
  <c r="E66" i="1" s="1"/>
  <c r="D68" i="1"/>
  <c r="B65" i="1"/>
  <c r="I65" i="1"/>
  <c r="A65" i="1"/>
  <c r="AA65" i="1" l="1"/>
  <c r="L66" i="1" s="1"/>
  <c r="L67" i="1"/>
  <c r="W73" i="1"/>
  <c r="X73" i="1"/>
  <c r="R74" i="1"/>
  <c r="V77" i="1"/>
  <c r="J65" i="1"/>
  <c r="K65" i="1" s="1"/>
  <c r="B71" i="1"/>
  <c r="G70" i="1"/>
  <c r="C70" i="1"/>
  <c r="E70" i="1" s="1"/>
  <c r="B72" i="1"/>
  <c r="B70" i="1"/>
  <c r="D72" i="1"/>
  <c r="L69" i="1"/>
  <c r="G69" i="1"/>
  <c r="Y69" i="1" s="1"/>
  <c r="AB69" i="1" s="1"/>
  <c r="C71" i="1"/>
  <c r="C72" i="1"/>
  <c r="H69" i="1"/>
  <c r="B69" i="1"/>
  <c r="I69" i="1"/>
  <c r="J69" i="1"/>
  <c r="K69" i="1" s="1"/>
  <c r="A69" i="1"/>
  <c r="AA69" i="1" l="1"/>
  <c r="L70" i="1" s="1"/>
  <c r="L71" i="1"/>
  <c r="B74" i="1"/>
  <c r="H73" i="1"/>
  <c r="G74" i="1"/>
  <c r="D76" i="1"/>
  <c r="L73" i="1"/>
  <c r="C74" i="1"/>
  <c r="E74" i="1" s="1"/>
  <c r="C76" i="1"/>
  <c r="B76" i="1"/>
  <c r="G73" i="1"/>
  <c r="Y73" i="1" s="1"/>
  <c r="AB73" i="1" s="1"/>
  <c r="C75" i="1"/>
  <c r="B75" i="1"/>
  <c r="J73" i="1"/>
  <c r="K73" i="1" s="1"/>
  <c r="I73" i="1"/>
  <c r="B73" i="1"/>
  <c r="A73" i="1"/>
  <c r="L75" i="1" s="1"/>
  <c r="W77" i="1"/>
  <c r="X77" i="1"/>
  <c r="R78" i="1"/>
  <c r="V81" i="1"/>
  <c r="W81" i="1" l="1"/>
  <c r="R82" i="1"/>
  <c r="X81" i="1"/>
  <c r="V85" i="1"/>
  <c r="B80" i="1"/>
  <c r="G77" i="1"/>
  <c r="Y77" i="1" s="1"/>
  <c r="AB77" i="1" s="1"/>
  <c r="C80" i="1"/>
  <c r="C79" i="1"/>
  <c r="D80" i="1"/>
  <c r="B79" i="1"/>
  <c r="G78" i="1"/>
  <c r="L77" i="1"/>
  <c r="H77" i="1"/>
  <c r="C78" i="1"/>
  <c r="E78" i="1" s="1"/>
  <c r="B78" i="1"/>
  <c r="A77" i="1"/>
  <c r="AA73" i="1"/>
  <c r="L74" i="1" s="1"/>
  <c r="AA77" i="1" l="1"/>
  <c r="L78" i="1" s="1"/>
  <c r="L79" i="1"/>
  <c r="I77" i="1"/>
  <c r="W85" i="1"/>
  <c r="V89" i="1"/>
  <c r="R86" i="1"/>
  <c r="X85" i="1"/>
  <c r="J77" i="1"/>
  <c r="K77" i="1" s="1"/>
  <c r="B77" i="1"/>
  <c r="G82" i="1"/>
  <c r="C82" i="1"/>
  <c r="E82" i="1" s="1"/>
  <c r="B82" i="1"/>
  <c r="B83" i="1"/>
  <c r="D84" i="1"/>
  <c r="L81" i="1"/>
  <c r="C84" i="1"/>
  <c r="H81" i="1"/>
  <c r="C83" i="1"/>
  <c r="B84" i="1"/>
  <c r="G81" i="1"/>
  <c r="Y81" i="1" s="1"/>
  <c r="AB81" i="1" s="1"/>
  <c r="I81" i="1"/>
  <c r="A81" i="1"/>
  <c r="L83" i="1" s="1"/>
  <c r="J81" i="1" l="1"/>
  <c r="K81" i="1" s="1"/>
  <c r="B81" i="1"/>
  <c r="W89" i="1"/>
  <c r="R90" i="1"/>
  <c r="V93" i="1"/>
  <c r="X89" i="1"/>
  <c r="D88" i="1"/>
  <c r="L85" i="1"/>
  <c r="G85" i="1"/>
  <c r="Y85" i="1" s="1"/>
  <c r="AB85" i="1" s="1"/>
  <c r="C86" i="1"/>
  <c r="E86" i="1" s="1"/>
  <c r="C88" i="1"/>
  <c r="H85" i="1"/>
  <c r="B88" i="1"/>
  <c r="C87" i="1"/>
  <c r="B87" i="1"/>
  <c r="G86" i="1"/>
  <c r="B86" i="1"/>
  <c r="B85" i="1"/>
  <c r="I85" i="1"/>
  <c r="J85" i="1"/>
  <c r="K85" i="1" s="1"/>
  <c r="A85" i="1"/>
  <c r="L87" i="1" s="1"/>
  <c r="AA81" i="1"/>
  <c r="L82" i="1" s="1"/>
  <c r="AA85" i="1" l="1"/>
  <c r="L86" i="1" s="1"/>
  <c r="W93" i="1"/>
  <c r="V97" i="1"/>
  <c r="X93" i="1"/>
  <c r="R94" i="1"/>
  <c r="C91" i="1"/>
  <c r="B91" i="1"/>
  <c r="C92" i="1"/>
  <c r="G90" i="1"/>
  <c r="G89" i="1"/>
  <c r="Y89" i="1" s="1"/>
  <c r="AB89" i="1" s="1"/>
  <c r="C90" i="1"/>
  <c r="E90" i="1" s="1"/>
  <c r="H89" i="1"/>
  <c r="B90" i="1"/>
  <c r="B92" i="1"/>
  <c r="D92" i="1"/>
  <c r="L89" i="1"/>
  <c r="B89" i="1"/>
  <c r="J89" i="1"/>
  <c r="K89" i="1" s="1"/>
  <c r="I89" i="1"/>
  <c r="A89" i="1"/>
  <c r="L91" i="1" s="1"/>
  <c r="W97" i="1" l="1"/>
  <c r="X97" i="1"/>
  <c r="V101" i="1"/>
  <c r="R98" i="1"/>
  <c r="C94" i="1"/>
  <c r="E94" i="1" s="1"/>
  <c r="G94" i="1"/>
  <c r="B94" i="1"/>
  <c r="D96" i="1"/>
  <c r="L93" i="1"/>
  <c r="B95" i="1"/>
  <c r="C96" i="1"/>
  <c r="H93" i="1"/>
  <c r="B96" i="1"/>
  <c r="G93" i="1"/>
  <c r="Y93" i="1" s="1"/>
  <c r="AB93" i="1" s="1"/>
  <c r="C95" i="1"/>
  <c r="J93" i="1"/>
  <c r="K93" i="1" s="1"/>
  <c r="I93" i="1"/>
  <c r="A93" i="1"/>
  <c r="AA89" i="1"/>
  <c r="L90" i="1" s="1"/>
  <c r="AA93" i="1" l="1"/>
  <c r="L94" i="1" s="1"/>
  <c r="L95" i="1"/>
  <c r="B93" i="1"/>
  <c r="W101" i="1"/>
  <c r="X101" i="1"/>
  <c r="V105" i="1"/>
  <c r="R102" i="1"/>
  <c r="C100" i="1"/>
  <c r="H97" i="1"/>
  <c r="B100" i="1"/>
  <c r="G97" i="1"/>
  <c r="Y97" i="1" s="1"/>
  <c r="AB97" i="1" s="1"/>
  <c r="L97" i="1"/>
  <c r="C99" i="1"/>
  <c r="B99" i="1"/>
  <c r="D100" i="1"/>
  <c r="G98" i="1"/>
  <c r="C98" i="1"/>
  <c r="E98" i="1" s="1"/>
  <c r="B98" i="1"/>
  <c r="J97" i="1"/>
  <c r="K97" i="1" s="1"/>
  <c r="B97" i="1"/>
  <c r="I97" i="1"/>
  <c r="A97" i="1"/>
  <c r="L99" i="1" l="1"/>
  <c r="W105" i="1"/>
  <c r="X105" i="1"/>
  <c r="R106" i="1"/>
  <c r="V109" i="1"/>
  <c r="B103" i="1"/>
  <c r="G102" i="1"/>
  <c r="C102" i="1"/>
  <c r="E102" i="1" s="1"/>
  <c r="B102" i="1"/>
  <c r="B104" i="1"/>
  <c r="D104" i="1"/>
  <c r="L101" i="1"/>
  <c r="G101" i="1"/>
  <c r="Y101" i="1" s="1"/>
  <c r="AB101" i="1" s="1"/>
  <c r="C104" i="1"/>
  <c r="H101" i="1"/>
  <c r="C103" i="1"/>
  <c r="A101" i="1"/>
  <c r="AA101" i="1"/>
  <c r="L102" i="1" s="1"/>
  <c r="AA97" i="1"/>
  <c r="L98" i="1" s="1"/>
  <c r="W109" i="1" l="1"/>
  <c r="X109" i="1"/>
  <c r="R110" i="1"/>
  <c r="V113" i="1"/>
  <c r="L103" i="1"/>
  <c r="J101" i="1"/>
  <c r="K101" i="1" s="1"/>
  <c r="B106" i="1"/>
  <c r="G106" i="1"/>
  <c r="C106" i="1"/>
  <c r="E106" i="1" s="1"/>
  <c r="D108" i="1"/>
  <c r="L105" i="1"/>
  <c r="C108" i="1"/>
  <c r="H105" i="1"/>
  <c r="B108" i="1"/>
  <c r="G105" i="1"/>
  <c r="Y105" i="1" s="1"/>
  <c r="AB105" i="1" s="1"/>
  <c r="C107" i="1"/>
  <c r="B107" i="1"/>
  <c r="A105" i="1"/>
  <c r="I101" i="1"/>
  <c r="B101" i="1"/>
  <c r="B105" i="1" l="1"/>
  <c r="W113" i="1"/>
  <c r="R114" i="1"/>
  <c r="X113" i="1"/>
  <c r="V117" i="1"/>
  <c r="L107" i="1"/>
  <c r="AA109" i="1"/>
  <c r="L110" i="1" s="1"/>
  <c r="J105" i="1"/>
  <c r="K105" i="1" s="1"/>
  <c r="I105" i="1"/>
  <c r="B112" i="1"/>
  <c r="G109" i="1"/>
  <c r="Y109" i="1" s="1"/>
  <c r="AB109" i="1" s="1"/>
  <c r="C111" i="1"/>
  <c r="C112" i="1"/>
  <c r="B111" i="1"/>
  <c r="G110" i="1"/>
  <c r="D112" i="1"/>
  <c r="C110" i="1"/>
  <c r="E110" i="1" s="1"/>
  <c r="L109" i="1"/>
  <c r="H109" i="1"/>
  <c r="B110" i="1"/>
  <c r="A109" i="1"/>
  <c r="AA105" i="1"/>
  <c r="L106" i="1" s="1"/>
  <c r="J109" i="1" l="1"/>
  <c r="K109" i="1" s="1"/>
  <c r="B109" i="1"/>
  <c r="W117" i="1"/>
  <c r="V121" i="1"/>
  <c r="X117" i="1"/>
  <c r="R118" i="1"/>
  <c r="L111" i="1"/>
  <c r="AA113" i="1"/>
  <c r="L114" i="1" s="1"/>
  <c r="I109" i="1"/>
  <c r="G114" i="1"/>
  <c r="C114" i="1"/>
  <c r="E114" i="1" s="1"/>
  <c r="C115" i="1"/>
  <c r="B114" i="1"/>
  <c r="B115" i="1"/>
  <c r="D116" i="1"/>
  <c r="L113" i="1"/>
  <c r="C116" i="1"/>
  <c r="H113" i="1"/>
  <c r="B116" i="1"/>
  <c r="G113" i="1"/>
  <c r="Y113" i="1" s="1"/>
  <c r="AB113" i="1" s="1"/>
  <c r="J113" i="1"/>
  <c r="K113" i="1" s="1"/>
  <c r="I113" i="1"/>
  <c r="B113" i="1"/>
  <c r="A113" i="1"/>
  <c r="L115" i="1" s="1"/>
  <c r="W121" i="1" l="1"/>
  <c r="R122" i="1"/>
  <c r="V125" i="1"/>
  <c r="X121" i="1"/>
  <c r="D120" i="1"/>
  <c r="L117" i="1"/>
  <c r="C118" i="1"/>
  <c r="E118" i="1" s="1"/>
  <c r="B118" i="1"/>
  <c r="C120" i="1"/>
  <c r="H117" i="1"/>
  <c r="B120" i="1"/>
  <c r="G117" i="1"/>
  <c r="Y117" i="1" s="1"/>
  <c r="AB117" i="1" s="1"/>
  <c r="C119" i="1"/>
  <c r="B119" i="1"/>
  <c r="G118" i="1"/>
  <c r="A117" i="1"/>
  <c r="L119" i="1" l="1"/>
  <c r="W125" i="1"/>
  <c r="V129" i="1"/>
  <c r="R126" i="1"/>
  <c r="X125" i="1"/>
  <c r="I117" i="1"/>
  <c r="B123" i="1"/>
  <c r="G122" i="1"/>
  <c r="C123" i="1"/>
  <c r="C122" i="1"/>
  <c r="E122" i="1" s="1"/>
  <c r="B122" i="1"/>
  <c r="B124" i="1"/>
  <c r="D124" i="1"/>
  <c r="L121" i="1"/>
  <c r="G121" i="1"/>
  <c r="Y121" i="1" s="1"/>
  <c r="AB121" i="1" s="1"/>
  <c r="B121" i="1"/>
  <c r="C124" i="1"/>
  <c r="H121" i="1"/>
  <c r="I121" i="1"/>
  <c r="J121" i="1"/>
  <c r="K121" i="1" s="1"/>
  <c r="A121" i="1"/>
  <c r="B117" i="1"/>
  <c r="J117" i="1"/>
  <c r="K117" i="1" s="1"/>
  <c r="AA117" i="1"/>
  <c r="L118" i="1" s="1"/>
  <c r="L123" i="1" l="1"/>
  <c r="W129" i="1"/>
  <c r="X129" i="1"/>
  <c r="V133" i="1"/>
  <c r="R130" i="1"/>
  <c r="B126" i="1"/>
  <c r="D128" i="1"/>
  <c r="L125" i="1"/>
  <c r="C128" i="1"/>
  <c r="H125" i="1"/>
  <c r="G126" i="1"/>
  <c r="B128" i="1"/>
  <c r="G125" i="1"/>
  <c r="Y125" i="1" s="1"/>
  <c r="AB125" i="1" s="1"/>
  <c r="C127" i="1"/>
  <c r="B127" i="1"/>
  <c r="C126" i="1"/>
  <c r="E126" i="1" s="1"/>
  <c r="J125" i="1"/>
  <c r="K125" i="1" s="1"/>
  <c r="I125" i="1"/>
  <c r="B125" i="1"/>
  <c r="A125" i="1"/>
  <c r="AA121" i="1"/>
  <c r="L122" i="1" s="1"/>
  <c r="L127" i="1" l="1"/>
  <c r="X133" i="1"/>
  <c r="V137" i="1"/>
  <c r="W133" i="1"/>
  <c r="R134" i="1"/>
  <c r="B132" i="1"/>
  <c r="G129" i="1"/>
  <c r="Y129" i="1" s="1"/>
  <c r="AB129" i="1" s="1"/>
  <c r="D132" i="1"/>
  <c r="C132" i="1"/>
  <c r="C131" i="1"/>
  <c r="L129" i="1"/>
  <c r="H129" i="1"/>
  <c r="B131" i="1"/>
  <c r="G130" i="1"/>
  <c r="C130" i="1"/>
  <c r="E130" i="1" s="1"/>
  <c r="B130" i="1"/>
  <c r="A129" i="1"/>
  <c r="AA125" i="1"/>
  <c r="L126" i="1" s="1"/>
  <c r="G134" i="1" l="1"/>
  <c r="C134" i="1"/>
  <c r="E134" i="1" s="1"/>
  <c r="B134" i="1"/>
  <c r="B135" i="1"/>
  <c r="D136" i="1"/>
  <c r="L133" i="1"/>
  <c r="C136" i="1"/>
  <c r="H133" i="1"/>
  <c r="C135" i="1"/>
  <c r="B136" i="1"/>
  <c r="G133" i="1"/>
  <c r="Y133" i="1" s="1"/>
  <c r="AB133" i="1" s="1"/>
  <c r="J133" i="1"/>
  <c r="K133" i="1" s="1"/>
  <c r="I133" i="1"/>
  <c r="B133" i="1"/>
  <c r="A133" i="1"/>
  <c r="L135" i="1" s="1"/>
  <c r="B129" i="1"/>
  <c r="W137" i="1"/>
  <c r="X137" i="1"/>
  <c r="R138" i="1"/>
  <c r="L131" i="1"/>
  <c r="I129" i="1"/>
  <c r="J129" i="1"/>
  <c r="K129" i="1" s="1"/>
  <c r="AA129" i="1"/>
  <c r="L130" i="1" s="1"/>
  <c r="D140" i="1" l="1"/>
  <c r="L137" i="1"/>
  <c r="C140" i="1"/>
  <c r="H137" i="1"/>
  <c r="B140" i="1"/>
  <c r="G137" i="1"/>
  <c r="Y137" i="1" s="1"/>
  <c r="AB137" i="1" s="1"/>
  <c r="C139" i="1"/>
  <c r="C138" i="1"/>
  <c r="E138" i="1" s="1"/>
  <c r="B139" i="1"/>
  <c r="B138" i="1"/>
  <c r="G138" i="1"/>
  <c r="I137" i="1"/>
  <c r="J137" i="1"/>
  <c r="K137" i="1" s="1"/>
  <c r="B137" i="1"/>
  <c r="A137" i="1"/>
  <c r="AA133" i="1"/>
  <c r="L134" i="1" s="1"/>
  <c r="L139" i="1" l="1"/>
  <c r="P17" i="1"/>
  <c r="AA137" i="1"/>
  <c r="L1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Karnjana-S</author>
  </authors>
  <commentList>
    <comment ref="R18" authorId="0" shapeId="0" xr:uid="{0FFEDEA6-E964-4B51-81D6-11624E9C8FE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Lot no.</t>
        </r>
      </text>
    </comment>
    <comment ref="S18" authorId="0" shapeId="0" xr:uid="{1CFA4D72-9DE0-4D34-B0A7-2E9158655B7C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ใส่จำนวน</t>
        </r>
      </text>
    </comment>
    <comment ref="W18" authorId="0" shapeId="0" xr:uid="{435E9C66-6A67-478B-B9E3-AA5C1758513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Part no.</t>
        </r>
      </text>
    </comment>
    <comment ref="X18" authorId="0" shapeId="0" xr:uid="{A6120C55-6693-4AF5-8A93-631E2E6A2F1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PO no.</t>
        </r>
      </text>
    </comment>
  </commentList>
</comments>
</file>

<file path=xl/sharedStrings.xml><?xml version="1.0" encoding="utf-8"?>
<sst xmlns="http://schemas.openxmlformats.org/spreadsheetml/2006/main" count="424" uniqueCount="155">
  <si>
    <t>No</t>
  </si>
  <si>
    <t>Goods Description</t>
  </si>
  <si>
    <t>Quantity</t>
  </si>
  <si>
    <t>Unit</t>
  </si>
  <si>
    <t>Measurement (CM)</t>
  </si>
  <si>
    <t>ใส่ข้อมูล (lot no. Q'ty Part no. Po no.) ตรงนี้เท่านั้น</t>
  </si>
  <si>
    <t>ลำดับที่</t>
  </si>
  <si>
    <t>คำอธิบายสินค้า</t>
  </si>
  <si>
    <t>PER CARTON</t>
  </si>
  <si>
    <t>TOTAL</t>
  </si>
  <si>
    <t>ขนาด</t>
  </si>
  <si>
    <t>LOT NO.</t>
  </si>
  <si>
    <t>QTY</t>
  </si>
  <si>
    <t>Part no.</t>
  </si>
  <si>
    <t>Po no.</t>
  </si>
  <si>
    <t>Total box</t>
  </si>
  <si>
    <t>2000 M./BOX</t>
  </si>
  <si>
    <t>BOX</t>
  </si>
  <si>
    <t>M</t>
  </si>
  <si>
    <t>PART</t>
  </si>
  <si>
    <t>TA0009</t>
  </si>
  <si>
    <t>TA0010</t>
  </si>
  <si>
    <t>TA0013</t>
  </si>
  <si>
    <t>TA0372-C</t>
  </si>
  <si>
    <t>TA0437</t>
  </si>
  <si>
    <t>TA0464-C</t>
  </si>
  <si>
    <t>TA0667</t>
  </si>
  <si>
    <t>TA0675-C</t>
  </si>
  <si>
    <t>TA0712-B</t>
  </si>
  <si>
    <t>TA0722-D</t>
  </si>
  <si>
    <t>TA0746</t>
  </si>
  <si>
    <t>TA0758-D</t>
  </si>
  <si>
    <t>TA0759-D</t>
  </si>
  <si>
    <t>TA0760-D</t>
  </si>
  <si>
    <t>TA0761-D</t>
  </si>
  <si>
    <t>TA0782-B</t>
  </si>
  <si>
    <t>TA0783-B</t>
  </si>
  <si>
    <t>117E 45710</t>
  </si>
  <si>
    <t>117K 50750</t>
  </si>
  <si>
    <t>117E 47210</t>
  </si>
  <si>
    <t>PM060HH45</t>
  </si>
  <si>
    <t>PM060HH47</t>
  </si>
  <si>
    <t>PM060HH48</t>
  </si>
  <si>
    <t>PM060HH33</t>
  </si>
  <si>
    <t>PM060HH35</t>
  </si>
  <si>
    <t>PM060HH37</t>
  </si>
  <si>
    <t>PM060HH38</t>
  </si>
  <si>
    <t>PM060HH42</t>
  </si>
  <si>
    <t>P05K1-40-100..</t>
  </si>
  <si>
    <t>136N120071A</t>
  </si>
  <si>
    <t>136N120072A</t>
  </si>
  <si>
    <t>136N120073B</t>
  </si>
  <si>
    <t>136N200001B</t>
  </si>
  <si>
    <t>PO</t>
  </si>
  <si>
    <t>MO</t>
  </si>
  <si>
    <t>TA</t>
  </si>
  <si>
    <t>DETAIL</t>
  </si>
  <si>
    <t>DMT121143</t>
  </si>
  <si>
    <t>DMT121144</t>
  </si>
  <si>
    <t>DMT121145</t>
  </si>
  <si>
    <t>DMT121146</t>
  </si>
  <si>
    <t>DMT121147</t>
  </si>
  <si>
    <t>DMT121148</t>
  </si>
  <si>
    <t>DMT121149</t>
  </si>
  <si>
    <t>DMT121150</t>
  </si>
  <si>
    <t>DMT121151</t>
  </si>
  <si>
    <t>DMT121152</t>
  </si>
  <si>
    <t>DMT121153</t>
  </si>
  <si>
    <t>DMT121154</t>
  </si>
  <si>
    <t>DMT121155</t>
  </si>
  <si>
    <t>DMT121156</t>
  </si>
  <si>
    <t>DMT121157</t>
  </si>
  <si>
    <t>DMT121158</t>
  </si>
  <si>
    <t>DMT121159</t>
  </si>
  <si>
    <t>Helper1</t>
  </si>
  <si>
    <t>helper2</t>
  </si>
  <si>
    <t>helper3</t>
  </si>
  <si>
    <t>DMT121160</t>
  </si>
  <si>
    <t>DMT121161</t>
  </si>
  <si>
    <t>DMT121162</t>
  </si>
  <si>
    <t>DMT121163</t>
  </si>
  <si>
    <t>DMT121164</t>
  </si>
  <si>
    <t>DMT121165</t>
  </si>
  <si>
    <t>DMT121166</t>
  </si>
  <si>
    <t>DMT121167</t>
  </si>
  <si>
    <t>DMT121168</t>
  </si>
  <si>
    <t>DMT121169</t>
  </si>
  <si>
    <t>DMT121170</t>
  </si>
  <si>
    <t>DMT121171</t>
  </si>
  <si>
    <t>DMT121172</t>
  </si>
  <si>
    <t>TA0784-B</t>
  </si>
  <si>
    <t>TA0793-B</t>
  </si>
  <si>
    <t>TA0805-B</t>
  </si>
  <si>
    <t>TA0809</t>
  </si>
  <si>
    <t>TA0908</t>
  </si>
  <si>
    <t>TA0909</t>
  </si>
  <si>
    <t>TA0910</t>
  </si>
  <si>
    <t>TA0951-B</t>
  </si>
  <si>
    <t>TA0952-B</t>
  </si>
  <si>
    <t>TA0974</t>
  </si>
  <si>
    <t>TA0979-B</t>
  </si>
  <si>
    <t>TA0981</t>
  </si>
  <si>
    <t>TA1006-B</t>
  </si>
  <si>
    <t>CC18023HP124</t>
  </si>
  <si>
    <t>CC18023HP125</t>
  </si>
  <si>
    <t>CC20251HP135S1</t>
  </si>
  <si>
    <t>CC20251HP136S1</t>
  </si>
  <si>
    <t>CC20251HP138S1</t>
  </si>
  <si>
    <t>CC20251HP139S1</t>
  </si>
  <si>
    <t>CC20251HP140S1</t>
  </si>
  <si>
    <t>CC20251HP141S1</t>
  </si>
  <si>
    <t>CC20251HP142S1</t>
  </si>
  <si>
    <t>CC18054HP104</t>
  </si>
  <si>
    <t>CC18054HP105</t>
  </si>
  <si>
    <t>CC18054HP114</t>
  </si>
  <si>
    <t>CC18054HP115</t>
  </si>
  <si>
    <t>46851201</t>
  </si>
  <si>
    <t>MT1548AH002-03</t>
  </si>
  <si>
    <t>S-00011435</t>
  </si>
  <si>
    <t>TA2795</t>
  </si>
  <si>
    <t>TA2796</t>
  </si>
  <si>
    <t>DMT121173</t>
  </si>
  <si>
    <t>DMT121174</t>
  </si>
  <si>
    <t>PVC123</t>
  </si>
  <si>
    <t>PVC124</t>
  </si>
  <si>
    <t>PVC125</t>
  </si>
  <si>
    <t>PVC126</t>
  </si>
  <si>
    <t>PVC127</t>
  </si>
  <si>
    <t>PVC128</t>
  </si>
  <si>
    <t>PVC129</t>
  </si>
  <si>
    <t>PVC130</t>
  </si>
  <si>
    <t>PVC131</t>
  </si>
  <si>
    <t>PVC132</t>
  </si>
  <si>
    <t>PVC133</t>
  </si>
  <si>
    <t>PVC134</t>
  </si>
  <si>
    <t>PVC135</t>
  </si>
  <si>
    <t>PVC136</t>
  </si>
  <si>
    <t>PVC137</t>
  </si>
  <si>
    <t>PVC138</t>
  </si>
  <si>
    <t>PVC139</t>
  </si>
  <si>
    <t>PVC140</t>
  </si>
  <si>
    <t>PVC141</t>
  </si>
  <si>
    <t>PVC142</t>
  </si>
  <si>
    <t>PVC143</t>
  </si>
  <si>
    <t>PVC144</t>
  </si>
  <si>
    <t>PVC145</t>
  </si>
  <si>
    <t>PVC146</t>
  </si>
  <si>
    <t>PVC147</t>
  </si>
  <si>
    <t>PVC148</t>
  </si>
  <si>
    <t>PVC149</t>
  </si>
  <si>
    <t>PVC150</t>
  </si>
  <si>
    <t>PVC151</t>
  </si>
  <si>
    <t>PVC152</t>
  </si>
  <si>
    <t>PVC153</t>
  </si>
  <si>
    <t>PVC154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</si>
</sst>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??_);_(@_)"/>
    <numFmt numFmtId="188" formatCode="[$-409]mmmm\ d\,\ yyyy;@"/>
  </numFmts>
  <fonts count="4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8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sz val="11"/>
      <color theme="1"/>
      <name val="Calibri"/>
      <family val="2"/>
    </font>
    <font>
      <sz val="12"/>
      <name val="Calibri"/>
      <family val="2"/>
    </font>
    <font>
      <sz val="18"/>
      <color theme="0"/>
      <name val="Tahoma"/>
      <family val="2"/>
      <scheme val="major"/>
    </font>
    <font>
      <sz val="8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b/>
      <sz val="10"/>
      <color theme="1"/>
      <name val="Calibri"/>
      <family val="2"/>
    </font>
    <font>
      <sz val="11"/>
      <color theme="0" tint="-0.34998626667073579"/>
      <name val="Calibri"/>
      <family val="2"/>
    </font>
    <font>
      <sz val="18"/>
      <color theme="1"/>
      <name val="Calibri"/>
      <family val="2"/>
    </font>
    <font>
      <sz val="6"/>
      <color theme="1"/>
      <name val="Calibri"/>
      <family val="2"/>
    </font>
    <font>
      <sz val="7"/>
      <color theme="1"/>
      <name val="Calibri"/>
      <family val="2"/>
    </font>
    <font>
      <b/>
      <u/>
      <sz val="10"/>
      <color theme="1"/>
      <name val="Tahoma"/>
      <family val="2"/>
      <scheme val="minor"/>
    </font>
    <font>
      <u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Tahoma"/>
      <family val="2"/>
      <scheme val="major"/>
    </font>
    <font>
      <sz val="10"/>
      <color theme="1"/>
      <name val="Tahoma"/>
      <family val="2"/>
      <scheme val="major"/>
    </font>
    <font>
      <b/>
      <sz val="10"/>
      <name val="Tahoma"/>
      <family val="2"/>
      <scheme val="major"/>
    </font>
    <font>
      <b/>
      <sz val="10"/>
      <color theme="1" tint="4.9989318521683403E-2"/>
      <name val="Tahoma"/>
      <family val="2"/>
      <scheme val="major"/>
    </font>
    <font>
      <sz val="7"/>
      <color theme="1"/>
      <name val="Tahoma"/>
      <family val="2"/>
      <scheme val="major"/>
    </font>
    <font>
      <sz val="10"/>
      <color theme="1" tint="4.9989318521683403E-2"/>
      <name val="Tahoma"/>
      <family val="2"/>
      <scheme val="major"/>
    </font>
    <font>
      <sz val="6"/>
      <color theme="1"/>
      <name val="Tahoma"/>
      <family val="2"/>
      <scheme val="major"/>
    </font>
    <font>
      <sz val="1"/>
      <color theme="0"/>
      <name val="Tahoma"/>
      <family val="2"/>
      <scheme val="major"/>
    </font>
    <font>
      <i/>
      <sz val="8"/>
      <color theme="1"/>
      <name val="Tahoma"/>
      <family val="2"/>
      <scheme val="major"/>
    </font>
    <font>
      <sz val="7"/>
      <name val="Tahoma"/>
      <family val="2"/>
      <scheme val="major"/>
    </font>
    <font>
      <b/>
      <sz val="10"/>
      <color theme="1"/>
      <name val="Tahoma"/>
      <family val="2"/>
      <scheme val="major"/>
    </font>
    <font>
      <b/>
      <sz val="10"/>
      <color theme="1"/>
      <name val="Tahom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sz val="11"/>
      <name val="ＭＳ Ｐゴシック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9" fillId="0" borderId="0"/>
  </cellStyleXfs>
  <cellXfs count="151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6" fillId="0" borderId="0" xfId="0" applyFont="1"/>
    <xf numFmtId="0" fontId="3" fillId="0" borderId="0" xfId="0" applyFont="1" applyAlignment="1" applyProtection="1">
      <alignment horizontal="left"/>
      <protection locked="0"/>
    </xf>
    <xf numFmtId="187" fontId="3" fillId="0" borderId="0" xfId="1" applyNumberFormat="1" applyFont="1" applyProtection="1">
      <protection locked="0"/>
    </xf>
    <xf numFmtId="43" fontId="11" fillId="0" borderId="0" xfId="1" applyFont="1" applyFill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187" fontId="21" fillId="0" borderId="0" xfId="1" applyNumberFormat="1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6" fillId="0" borderId="0" xfId="0" quotePrefix="1" applyFont="1" applyAlignment="1">
      <alignment vertical="center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horizontal="left" vertical="center"/>
      <protection locked="0"/>
    </xf>
    <xf numFmtId="187" fontId="3" fillId="0" borderId="0" xfId="1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4" fillId="0" borderId="0" xfId="0" applyFont="1"/>
    <xf numFmtId="3" fontId="23" fillId="0" borderId="4" xfId="1" applyNumberFormat="1" applyFont="1" applyFill="1" applyBorder="1" applyAlignment="1">
      <alignment horizontal="center" vertical="center"/>
    </xf>
    <xf numFmtId="0" fontId="6" fillId="0" borderId="0" xfId="0" quotePrefix="1" applyFont="1"/>
    <xf numFmtId="0" fontId="3" fillId="0" borderId="1" xfId="0" quotePrefix="1" applyFont="1" applyBorder="1" applyAlignment="1" applyProtection="1">
      <alignment horizontal="left"/>
      <protection locked="0"/>
    </xf>
    <xf numFmtId="187" fontId="3" fillId="0" borderId="2" xfId="1" applyNumberFormat="1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25" fillId="3" borderId="9" xfId="2" applyFont="1" applyFill="1" applyBorder="1" applyProtection="1">
      <protection locked="0"/>
    </xf>
    <xf numFmtId="0" fontId="24" fillId="3" borderId="9" xfId="0" applyFont="1" applyFill="1" applyBorder="1" applyAlignment="1" applyProtection="1">
      <alignment horizontal="center"/>
      <protection locked="0"/>
    </xf>
    <xf numFmtId="16" fontId="3" fillId="0" borderId="0" xfId="0" applyNumberFormat="1" applyFont="1" applyProtection="1">
      <protection locked="0"/>
    </xf>
    <xf numFmtId="16" fontId="3" fillId="0" borderId="0" xfId="0" quotePrefix="1" applyNumberFormat="1" applyFont="1" applyProtection="1">
      <protection locked="0"/>
    </xf>
    <xf numFmtId="0" fontId="26" fillId="0" borderId="0" xfId="2" applyFont="1" applyFill="1" applyBorder="1"/>
    <xf numFmtId="3" fontId="27" fillId="0" borderId="4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 applyProtection="1">
      <alignment horizontal="center"/>
      <protection locked="0"/>
    </xf>
    <xf numFmtId="0" fontId="3" fillId="3" borderId="9" xfId="0" quotePrefix="1" applyFont="1" applyFill="1" applyBorder="1" applyAlignment="1" applyProtection="1">
      <alignment horizontal="left" vertical="center"/>
      <protection locked="0"/>
    </xf>
    <xf numFmtId="187" fontId="3" fillId="3" borderId="9" xfId="1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3" fontId="29" fillId="0" borderId="4" xfId="1" applyNumberFormat="1" applyFont="1" applyFill="1" applyBorder="1" applyAlignment="1">
      <alignment horizontal="center" vertical="center"/>
    </xf>
    <xf numFmtId="43" fontId="30" fillId="0" borderId="4" xfId="1" applyFont="1" applyFill="1" applyBorder="1" applyAlignment="1">
      <alignment vertical="center" wrapText="1"/>
    </xf>
    <xf numFmtId="0" fontId="3" fillId="3" borderId="9" xfId="0" quotePrefix="1" applyFont="1" applyFill="1" applyBorder="1" applyAlignment="1" applyProtection="1">
      <alignment horizontal="left"/>
      <protection locked="0"/>
    </xf>
    <xf numFmtId="187" fontId="3" fillId="3" borderId="9" xfId="1" applyNumberFormat="1" applyFont="1" applyFill="1" applyBorder="1" applyProtection="1">
      <protection locked="0"/>
    </xf>
    <xf numFmtId="3" fontId="32" fillId="0" borderId="13" xfId="1" applyNumberFormat="1" applyFont="1" applyFill="1" applyBorder="1" applyAlignment="1">
      <alignment horizontal="center" vertical="center"/>
    </xf>
    <xf numFmtId="0" fontId="3" fillId="0" borderId="7" xfId="0" applyFont="1" applyBorder="1" applyProtection="1"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17" fontId="3" fillId="0" borderId="0" xfId="0" quotePrefix="1" applyNumberFormat="1" applyFont="1" applyProtection="1">
      <protection locked="0"/>
    </xf>
    <xf numFmtId="0" fontId="3" fillId="0" borderId="5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3" fillId="3" borderId="9" xfId="0" applyFont="1" applyFill="1" applyBorder="1" applyProtection="1">
      <protection locked="0"/>
    </xf>
    <xf numFmtId="0" fontId="13" fillId="0" borderId="0" xfId="0" applyFont="1"/>
    <xf numFmtId="43" fontId="13" fillId="0" borderId="0" xfId="1" applyFont="1"/>
    <xf numFmtId="0" fontId="15" fillId="0" borderId="10" xfId="0" applyFont="1" applyBorder="1" applyAlignment="1">
      <alignment horizontal="center"/>
    </xf>
    <xf numFmtId="0" fontId="24" fillId="0" borderId="9" xfId="0" applyFont="1" applyBorder="1"/>
    <xf numFmtId="0" fontId="22" fillId="0" borderId="9" xfId="0" applyFont="1" applyBorder="1"/>
    <xf numFmtId="0" fontId="13" fillId="0" borderId="9" xfId="0" applyFont="1" applyBorder="1"/>
    <xf numFmtId="0" fontId="37" fillId="0" borderId="9" xfId="0" applyFont="1" applyBorder="1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2" fillId="0" borderId="0" xfId="0" applyFont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188" fontId="3" fillId="0" borderId="0" xfId="0" applyNumberFormat="1" applyFont="1" applyProtection="1">
      <protection locked="0"/>
    </xf>
    <xf numFmtId="188" fontId="3" fillId="0" borderId="0" xfId="0" applyNumberFormat="1" applyFont="1" applyAlignment="1">
      <alignment horizontal="center"/>
    </xf>
    <xf numFmtId="0" fontId="0" fillId="0" borderId="0" xfId="0" applyAlignment="1" applyProtection="1">
      <alignment wrapText="1"/>
      <protection locked="0"/>
    </xf>
    <xf numFmtId="0" fontId="13" fillId="0" borderId="0" xfId="0" applyFont="1" applyAlignment="1" applyProtection="1">
      <alignment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3" fillId="0" borderId="0" xfId="0" applyFont="1" applyAlignment="1" applyProtection="1">
      <alignment vertical="center"/>
      <protection locked="0"/>
    </xf>
    <xf numFmtId="0" fontId="13" fillId="0" borderId="0" xfId="0" quotePrefix="1" applyFont="1" applyAlignment="1" applyProtection="1">
      <alignment vertical="center"/>
      <protection locked="0"/>
    </xf>
    <xf numFmtId="0" fontId="15" fillId="0" borderId="12" xfId="0" applyFont="1" applyBorder="1" applyAlignment="1" applyProtection="1">
      <alignment horizontal="center"/>
      <protection locked="0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8" fillId="0" borderId="11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12" xfId="0" applyBorder="1"/>
    <xf numFmtId="4" fontId="13" fillId="0" borderId="4" xfId="0" applyNumberFormat="1" applyFont="1" applyBorder="1" applyAlignment="1">
      <alignment horizontal="right"/>
    </xf>
    <xf numFmtId="0" fontId="3" fillId="0" borderId="10" xfId="0" applyFont="1" applyBorder="1"/>
    <xf numFmtId="0" fontId="0" fillId="0" borderId="12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3" fontId="13" fillId="0" borderId="13" xfId="1" applyNumberFormat="1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/>
    </xf>
    <xf numFmtId="0" fontId="22" fillId="0" borderId="0" xfId="0" applyFont="1"/>
    <xf numFmtId="0" fontId="24" fillId="0" borderId="5" xfId="0" applyFont="1" applyBorder="1"/>
    <xf numFmtId="0" fontId="24" fillId="0" borderId="12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4" fillId="0" borderId="0" xfId="0" quotePrefix="1" applyFont="1"/>
    <xf numFmtId="0" fontId="24" fillId="0" borderId="0" xfId="0" applyFont="1" applyAlignment="1">
      <alignment horizontal="center"/>
    </xf>
    <xf numFmtId="0" fontId="28" fillId="0" borderId="0" xfId="0" quotePrefix="1" applyFont="1"/>
    <xf numFmtId="0" fontId="3" fillId="0" borderId="5" xfId="0" applyFont="1" applyBorder="1"/>
    <xf numFmtId="0" fontId="23" fillId="0" borderId="15" xfId="0" applyFont="1" applyBorder="1" applyAlignment="1">
      <alignment horizontal="center"/>
    </xf>
    <xf numFmtId="0" fontId="13" fillId="0" borderId="14" xfId="0" applyFont="1" applyBorder="1"/>
    <xf numFmtId="0" fontId="28" fillId="0" borderId="14" xfId="0" applyFont="1" applyBorder="1" applyAlignment="1">
      <alignment horizontal="left" vertical="center"/>
    </xf>
    <xf numFmtId="0" fontId="31" fillId="0" borderId="14" xfId="0" applyFont="1" applyBorder="1"/>
    <xf numFmtId="0" fontId="24" fillId="0" borderId="19" xfId="0" applyFont="1" applyBorder="1"/>
    <xf numFmtId="0" fontId="24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9" xfId="0" applyFont="1" applyBorder="1"/>
    <xf numFmtId="0" fontId="28" fillId="0" borderId="0" xfId="0" applyFont="1"/>
    <xf numFmtId="0" fontId="34" fillId="0" borderId="0" xfId="0" applyFont="1" applyAlignment="1">
      <alignment horizontal="center"/>
    </xf>
    <xf numFmtId="14" fontId="13" fillId="0" borderId="0" xfId="0" quotePrefix="1" applyNumberFormat="1" applyFont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3" fillId="4" borderId="0" xfId="0" applyFont="1" applyFill="1"/>
    <xf numFmtId="0" fontId="13" fillId="0" borderId="9" xfId="1" applyNumberFormat="1" applyFont="1" applyBorder="1"/>
    <xf numFmtId="0" fontId="24" fillId="0" borderId="12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24" fillId="0" borderId="12" xfId="1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24" fillId="0" borderId="14" xfId="0" applyFont="1" applyBorder="1"/>
    <xf numFmtId="0" fontId="24" fillId="0" borderId="15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4">
    <cellStyle name="Comma" xfId="1" builtinId="3"/>
    <cellStyle name="Neutral" xfId="2" builtinId="28"/>
    <cellStyle name="Normal" xfId="0" builtinId="0"/>
    <cellStyle name="Normal 2" xfId="3" xr:uid="{0108433E-B24C-459D-A9D6-72E94A8C83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ashx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10</xdr:row>
      <xdr:rowOff>47625</xdr:rowOff>
    </xdr:from>
    <xdr:to>
      <xdr:col>17</xdr:col>
      <xdr:colOff>285749</xdr:colOff>
      <xdr:row>13</xdr:row>
      <xdr:rowOff>11906</xdr:rowOff>
    </xdr:to>
    <xdr:sp macro="[0]!QRFor_" textlink="">
      <xdr:nvSpPr>
        <xdr:cNvPr id="5" name="Rectangle: Beveled 4">
          <a:extLst>
            <a:ext uri="{FF2B5EF4-FFF2-40B4-BE49-F238E27FC236}">
              <a16:creationId xmlns:a16="http://schemas.microsoft.com/office/drawing/2014/main" id="{3E15CB49-600F-4512-B8A6-6A71A19213C2}"/>
            </a:ext>
          </a:extLst>
        </xdr:cNvPr>
        <xdr:cNvSpPr/>
      </xdr:nvSpPr>
      <xdr:spPr>
        <a:xfrm>
          <a:off x="10984230" y="1899285"/>
          <a:ext cx="1752599" cy="558641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QR Code</a:t>
          </a:r>
        </a:p>
      </xdr:txBody>
    </xdr:sp>
    <xdr:clientData/>
  </xdr:twoCellAnchor>
  <xdr:twoCellAnchor>
    <xdr:from>
      <xdr:col>13</xdr:col>
      <xdr:colOff>250029</xdr:colOff>
      <xdr:row>21</xdr:row>
      <xdr:rowOff>59533</xdr:rowOff>
    </xdr:from>
    <xdr:to>
      <xdr:col>13</xdr:col>
      <xdr:colOff>1202530</xdr:colOff>
      <xdr:row>23</xdr:row>
      <xdr:rowOff>166689</xdr:rowOff>
    </xdr:to>
    <xdr:sp macro="[0]!CH_1" textlink="">
      <xdr:nvSpPr>
        <xdr:cNvPr id="6" name="Rectangle: Beveled 5">
          <a:extLst>
            <a:ext uri="{FF2B5EF4-FFF2-40B4-BE49-F238E27FC236}">
              <a16:creationId xmlns:a16="http://schemas.microsoft.com/office/drawing/2014/main" id="{A799E77C-7DF4-45BA-86AE-CD4CF1E51E93}"/>
            </a:ext>
          </a:extLst>
        </xdr:cNvPr>
        <xdr:cNvSpPr/>
      </xdr:nvSpPr>
      <xdr:spPr>
        <a:xfrm>
          <a:off x="9340689" y="3915253"/>
          <a:ext cx="95250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</a:t>
          </a:r>
        </a:p>
      </xdr:txBody>
    </xdr:sp>
    <xdr:clientData/>
  </xdr:twoCellAnchor>
  <xdr:twoCellAnchor>
    <xdr:from>
      <xdr:col>13</xdr:col>
      <xdr:colOff>247649</xdr:colOff>
      <xdr:row>25</xdr:row>
      <xdr:rowOff>57151</xdr:rowOff>
    </xdr:from>
    <xdr:to>
      <xdr:col>13</xdr:col>
      <xdr:colOff>1202531</xdr:colOff>
      <xdr:row>27</xdr:row>
      <xdr:rowOff>164307</xdr:rowOff>
    </xdr:to>
    <xdr:sp macro="[0]!CH_2" textlink="">
      <xdr:nvSpPr>
        <xdr:cNvPr id="7" name="Rectangle: Beveled 6">
          <a:extLst>
            <a:ext uri="{FF2B5EF4-FFF2-40B4-BE49-F238E27FC236}">
              <a16:creationId xmlns:a16="http://schemas.microsoft.com/office/drawing/2014/main" id="{C6E338C3-B5EB-4468-AD92-E2E148B24FE0}"/>
            </a:ext>
          </a:extLst>
        </xdr:cNvPr>
        <xdr:cNvSpPr/>
      </xdr:nvSpPr>
      <xdr:spPr>
        <a:xfrm>
          <a:off x="9338309" y="4674871"/>
          <a:ext cx="9548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</a:t>
          </a:r>
        </a:p>
      </xdr:txBody>
    </xdr:sp>
    <xdr:clientData/>
  </xdr:twoCellAnchor>
  <xdr:twoCellAnchor>
    <xdr:from>
      <xdr:col>13</xdr:col>
      <xdr:colOff>261937</xdr:colOff>
      <xdr:row>29</xdr:row>
      <xdr:rowOff>71438</xdr:rowOff>
    </xdr:from>
    <xdr:to>
      <xdr:col>13</xdr:col>
      <xdr:colOff>1202531</xdr:colOff>
      <xdr:row>31</xdr:row>
      <xdr:rowOff>178594</xdr:rowOff>
    </xdr:to>
    <xdr:sp macro="[0]!CH_3" textlink="">
      <xdr:nvSpPr>
        <xdr:cNvPr id="8" name="Rectangle: Beveled 7">
          <a:extLst>
            <a:ext uri="{FF2B5EF4-FFF2-40B4-BE49-F238E27FC236}">
              <a16:creationId xmlns:a16="http://schemas.microsoft.com/office/drawing/2014/main" id="{5092603C-B946-4AB7-9A06-06CCD6A4E009}"/>
            </a:ext>
          </a:extLst>
        </xdr:cNvPr>
        <xdr:cNvSpPr/>
      </xdr:nvSpPr>
      <xdr:spPr>
        <a:xfrm>
          <a:off x="9352597" y="5451158"/>
          <a:ext cx="940594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no.3</a:t>
          </a:r>
        </a:p>
      </xdr:txBody>
    </xdr:sp>
    <xdr:clientData/>
  </xdr:twoCellAnchor>
  <xdr:twoCellAnchor>
    <xdr:from>
      <xdr:col>13</xdr:col>
      <xdr:colOff>247649</xdr:colOff>
      <xdr:row>33</xdr:row>
      <xdr:rowOff>21431</xdr:rowOff>
    </xdr:from>
    <xdr:to>
      <xdr:col>13</xdr:col>
      <xdr:colOff>1202531</xdr:colOff>
      <xdr:row>35</xdr:row>
      <xdr:rowOff>128587</xdr:rowOff>
    </xdr:to>
    <xdr:sp macro="[0]!CH_4" textlink="">
      <xdr:nvSpPr>
        <xdr:cNvPr id="9" name="Rectangle: Beveled 8">
          <a:extLst>
            <a:ext uri="{FF2B5EF4-FFF2-40B4-BE49-F238E27FC236}">
              <a16:creationId xmlns:a16="http://schemas.microsoft.com/office/drawing/2014/main" id="{ED5DFA6D-56E0-4449-B2AC-4F289287C9AD}"/>
            </a:ext>
          </a:extLst>
        </xdr:cNvPr>
        <xdr:cNvSpPr/>
      </xdr:nvSpPr>
      <xdr:spPr>
        <a:xfrm>
          <a:off x="9338309" y="6163151"/>
          <a:ext cx="9548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no.4</a:t>
          </a:r>
        </a:p>
      </xdr:txBody>
    </xdr:sp>
    <xdr:clientData/>
  </xdr:twoCellAnchor>
  <xdr:twoCellAnchor>
    <xdr:from>
      <xdr:col>13</xdr:col>
      <xdr:colOff>261937</xdr:colOff>
      <xdr:row>36</xdr:row>
      <xdr:rowOff>154781</xdr:rowOff>
    </xdr:from>
    <xdr:to>
      <xdr:col>13</xdr:col>
      <xdr:colOff>1226343</xdr:colOff>
      <xdr:row>39</xdr:row>
      <xdr:rowOff>71437</xdr:rowOff>
    </xdr:to>
    <xdr:sp macro="[0]!CH_5" textlink="">
      <xdr:nvSpPr>
        <xdr:cNvPr id="10" name="Rectangle: Beveled 9">
          <a:extLst>
            <a:ext uri="{FF2B5EF4-FFF2-40B4-BE49-F238E27FC236}">
              <a16:creationId xmlns:a16="http://schemas.microsoft.com/office/drawing/2014/main" id="{97268A40-7489-4CB1-B95A-021592A74C5C}"/>
            </a:ext>
          </a:extLst>
        </xdr:cNvPr>
        <xdr:cNvSpPr/>
      </xdr:nvSpPr>
      <xdr:spPr>
        <a:xfrm>
          <a:off x="9352597" y="6868001"/>
          <a:ext cx="964406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no.5</a:t>
          </a:r>
        </a:p>
      </xdr:txBody>
    </xdr:sp>
    <xdr:clientData/>
  </xdr:twoCellAnchor>
  <xdr:twoCellAnchor>
    <xdr:from>
      <xdr:col>13</xdr:col>
      <xdr:colOff>261937</xdr:colOff>
      <xdr:row>40</xdr:row>
      <xdr:rowOff>154781</xdr:rowOff>
    </xdr:from>
    <xdr:to>
      <xdr:col>13</xdr:col>
      <xdr:colOff>1226342</xdr:colOff>
      <xdr:row>43</xdr:row>
      <xdr:rowOff>71437</xdr:rowOff>
    </xdr:to>
    <xdr:sp macro="[0]!CH_6" textlink="">
      <xdr:nvSpPr>
        <xdr:cNvPr id="11" name="Rectangle: Beveled 10">
          <a:extLst>
            <a:ext uri="{FF2B5EF4-FFF2-40B4-BE49-F238E27FC236}">
              <a16:creationId xmlns:a16="http://schemas.microsoft.com/office/drawing/2014/main" id="{5E6EF800-8498-4BF2-AEE0-4A4184AE7BC7}"/>
            </a:ext>
          </a:extLst>
        </xdr:cNvPr>
        <xdr:cNvSpPr/>
      </xdr:nvSpPr>
      <xdr:spPr>
        <a:xfrm>
          <a:off x="9352597" y="7630001"/>
          <a:ext cx="964405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no.6</a:t>
          </a:r>
        </a:p>
      </xdr:txBody>
    </xdr:sp>
    <xdr:clientData/>
  </xdr:twoCellAnchor>
  <xdr:twoCellAnchor>
    <xdr:from>
      <xdr:col>13</xdr:col>
      <xdr:colOff>261937</xdr:colOff>
      <xdr:row>44</xdr:row>
      <xdr:rowOff>142875</xdr:rowOff>
    </xdr:from>
    <xdr:to>
      <xdr:col>13</xdr:col>
      <xdr:colOff>1238249</xdr:colOff>
      <xdr:row>47</xdr:row>
      <xdr:rowOff>59531</xdr:rowOff>
    </xdr:to>
    <xdr:sp macro="[0]!CH_7" textlink="">
      <xdr:nvSpPr>
        <xdr:cNvPr id="12" name="Rectangle: Beveled 11">
          <a:extLst>
            <a:ext uri="{FF2B5EF4-FFF2-40B4-BE49-F238E27FC236}">
              <a16:creationId xmlns:a16="http://schemas.microsoft.com/office/drawing/2014/main" id="{B4F415B6-95BD-4362-B917-F06B2ACD9AE5}"/>
            </a:ext>
          </a:extLst>
        </xdr:cNvPr>
        <xdr:cNvSpPr/>
      </xdr:nvSpPr>
      <xdr:spPr>
        <a:xfrm>
          <a:off x="9352597" y="8380095"/>
          <a:ext cx="97631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no.7</a:t>
          </a:r>
        </a:p>
      </xdr:txBody>
    </xdr:sp>
    <xdr:clientData/>
  </xdr:twoCellAnchor>
  <xdr:twoCellAnchor>
    <xdr:from>
      <xdr:col>13</xdr:col>
      <xdr:colOff>261938</xdr:colOff>
      <xdr:row>48</xdr:row>
      <xdr:rowOff>119062</xdr:rowOff>
    </xdr:from>
    <xdr:to>
      <xdr:col>13</xdr:col>
      <xdr:colOff>1250156</xdr:colOff>
      <xdr:row>51</xdr:row>
      <xdr:rowOff>35718</xdr:rowOff>
    </xdr:to>
    <xdr:sp macro="[0]!CH_8" textlink="">
      <xdr:nvSpPr>
        <xdr:cNvPr id="13" name="Rectangle: Beveled 12">
          <a:extLst>
            <a:ext uri="{FF2B5EF4-FFF2-40B4-BE49-F238E27FC236}">
              <a16:creationId xmlns:a16="http://schemas.microsoft.com/office/drawing/2014/main" id="{F0C1EC54-424D-43E9-8BFB-7295F1917B2C}"/>
            </a:ext>
          </a:extLst>
        </xdr:cNvPr>
        <xdr:cNvSpPr/>
      </xdr:nvSpPr>
      <xdr:spPr>
        <a:xfrm>
          <a:off x="9352598" y="9118282"/>
          <a:ext cx="988218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no.8</a:t>
          </a:r>
        </a:p>
      </xdr:txBody>
    </xdr:sp>
    <xdr:clientData/>
  </xdr:twoCellAnchor>
  <xdr:twoCellAnchor>
    <xdr:from>
      <xdr:col>13</xdr:col>
      <xdr:colOff>250030</xdr:colOff>
      <xdr:row>53</xdr:row>
      <xdr:rowOff>11906</xdr:rowOff>
    </xdr:from>
    <xdr:to>
      <xdr:col>13</xdr:col>
      <xdr:colOff>1273967</xdr:colOff>
      <xdr:row>55</xdr:row>
      <xdr:rowOff>119062</xdr:rowOff>
    </xdr:to>
    <xdr:sp macro="[0]!CH_9" textlink="">
      <xdr:nvSpPr>
        <xdr:cNvPr id="14" name="Rectangle: Beveled 13">
          <a:extLst>
            <a:ext uri="{FF2B5EF4-FFF2-40B4-BE49-F238E27FC236}">
              <a16:creationId xmlns:a16="http://schemas.microsoft.com/office/drawing/2014/main" id="{7C8256BA-D3BC-40A2-A082-E1F64C0E7D0B}"/>
            </a:ext>
          </a:extLst>
        </xdr:cNvPr>
        <xdr:cNvSpPr/>
      </xdr:nvSpPr>
      <xdr:spPr>
        <a:xfrm>
          <a:off x="9340690" y="9963626"/>
          <a:ext cx="1023937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no.9</a:t>
          </a:r>
        </a:p>
      </xdr:txBody>
    </xdr:sp>
    <xdr:clientData/>
  </xdr:twoCellAnchor>
  <xdr:twoCellAnchor>
    <xdr:from>
      <xdr:col>13</xdr:col>
      <xdr:colOff>250031</xdr:colOff>
      <xdr:row>57</xdr:row>
      <xdr:rowOff>70008</xdr:rowOff>
    </xdr:from>
    <xdr:to>
      <xdr:col>13</xdr:col>
      <xdr:colOff>1262062</xdr:colOff>
      <xdr:row>59</xdr:row>
      <xdr:rowOff>177164</xdr:rowOff>
    </xdr:to>
    <xdr:sp macro="[0]!CH_10" textlink="">
      <xdr:nvSpPr>
        <xdr:cNvPr id="15" name="Rectangle: Beveled 14">
          <a:extLst>
            <a:ext uri="{FF2B5EF4-FFF2-40B4-BE49-F238E27FC236}">
              <a16:creationId xmlns:a16="http://schemas.microsoft.com/office/drawing/2014/main" id="{3DA5EAA4-C58C-46EB-A404-A62E20F67FFD}"/>
            </a:ext>
          </a:extLst>
        </xdr:cNvPr>
        <xdr:cNvSpPr/>
      </xdr:nvSpPr>
      <xdr:spPr>
        <a:xfrm>
          <a:off x="9256871" y="9130188"/>
          <a:ext cx="10120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no.10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317500</xdr:colOff>
      <xdr:row>23</xdr:row>
      <xdr:rowOff>127000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735678F-A91D-4B45-B038-07A3894E4C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1020" y="4046220"/>
          <a:ext cx="317500" cy="317500"/>
        </a:xfrm>
        <a:prstGeom prst="rect">
          <a:avLst/>
        </a:prstGeom>
      </xdr:spPr>
    </xdr:pic>
    <xdr:clientData/>
  </xdr:twoCellAnchor>
  <xdr:twoCellAnchor>
    <xdr:from>
      <xdr:col>13</xdr:col>
      <xdr:colOff>250029</xdr:colOff>
      <xdr:row>61</xdr:row>
      <xdr:rowOff>67153</xdr:rowOff>
    </xdr:from>
    <xdr:to>
      <xdr:col>13</xdr:col>
      <xdr:colOff>1280160</xdr:colOff>
      <xdr:row>63</xdr:row>
      <xdr:rowOff>174309</xdr:rowOff>
    </xdr:to>
    <xdr:sp macro="[0]!CH_1" textlink="">
      <xdr:nvSpPr>
        <xdr:cNvPr id="44" name="Rectangle: Beveled 43">
          <a:extLst>
            <a:ext uri="{FF2B5EF4-FFF2-40B4-BE49-F238E27FC236}">
              <a16:creationId xmlns:a16="http://schemas.microsoft.com/office/drawing/2014/main" id="{13FA16AD-E05B-40EC-86A1-CCF3CCE04FA7}"/>
            </a:ext>
          </a:extLst>
        </xdr:cNvPr>
        <xdr:cNvSpPr/>
      </xdr:nvSpPr>
      <xdr:spPr>
        <a:xfrm>
          <a:off x="9256869" y="9889333"/>
          <a:ext cx="10301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no.11</a:t>
          </a:r>
        </a:p>
      </xdr:txBody>
    </xdr:sp>
    <xdr:clientData/>
  </xdr:twoCellAnchor>
  <xdr:twoCellAnchor>
    <xdr:from>
      <xdr:col>13</xdr:col>
      <xdr:colOff>247648</xdr:colOff>
      <xdr:row>65</xdr:row>
      <xdr:rowOff>57151</xdr:rowOff>
    </xdr:from>
    <xdr:to>
      <xdr:col>13</xdr:col>
      <xdr:colOff>1310639</xdr:colOff>
      <xdr:row>67</xdr:row>
      <xdr:rowOff>164307</xdr:rowOff>
    </xdr:to>
    <xdr:sp macro="[0]!CH_2" textlink="">
      <xdr:nvSpPr>
        <xdr:cNvPr id="45" name="Rectangle: Beveled 44">
          <a:extLst>
            <a:ext uri="{FF2B5EF4-FFF2-40B4-BE49-F238E27FC236}">
              <a16:creationId xmlns:a16="http://schemas.microsoft.com/office/drawing/2014/main" id="{82FB559F-0C29-4BCE-9B1C-B4585D9ACC38}"/>
            </a:ext>
          </a:extLst>
        </xdr:cNvPr>
        <xdr:cNvSpPr/>
      </xdr:nvSpPr>
      <xdr:spPr>
        <a:xfrm>
          <a:off x="9254488" y="10641331"/>
          <a:ext cx="106299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no.12</a:t>
          </a:r>
        </a:p>
      </xdr:txBody>
    </xdr:sp>
    <xdr:clientData/>
  </xdr:twoCellAnchor>
  <xdr:twoCellAnchor>
    <xdr:from>
      <xdr:col>13</xdr:col>
      <xdr:colOff>261936</xdr:colOff>
      <xdr:row>69</xdr:row>
      <xdr:rowOff>71438</xdr:rowOff>
    </xdr:from>
    <xdr:to>
      <xdr:col>13</xdr:col>
      <xdr:colOff>1249679</xdr:colOff>
      <xdr:row>71</xdr:row>
      <xdr:rowOff>178594</xdr:rowOff>
    </xdr:to>
    <xdr:sp macro="[0]!CH_3" textlink="">
      <xdr:nvSpPr>
        <xdr:cNvPr id="46" name="Rectangle: Beveled 45">
          <a:extLst>
            <a:ext uri="{FF2B5EF4-FFF2-40B4-BE49-F238E27FC236}">
              <a16:creationId xmlns:a16="http://schemas.microsoft.com/office/drawing/2014/main" id="{061D4BDE-B27A-4163-BF3F-DCC4B2F0B2A6}"/>
            </a:ext>
          </a:extLst>
        </xdr:cNvPr>
        <xdr:cNvSpPr/>
      </xdr:nvSpPr>
      <xdr:spPr>
        <a:xfrm>
          <a:off x="9268776" y="11417618"/>
          <a:ext cx="9877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no.13</a:t>
          </a:r>
        </a:p>
      </xdr:txBody>
    </xdr:sp>
    <xdr:clientData/>
  </xdr:twoCellAnchor>
  <xdr:twoCellAnchor>
    <xdr:from>
      <xdr:col>13</xdr:col>
      <xdr:colOff>247648</xdr:colOff>
      <xdr:row>73</xdr:row>
      <xdr:rowOff>67151</xdr:rowOff>
    </xdr:from>
    <xdr:to>
      <xdr:col>13</xdr:col>
      <xdr:colOff>1318259</xdr:colOff>
      <xdr:row>75</xdr:row>
      <xdr:rowOff>174307</xdr:rowOff>
    </xdr:to>
    <xdr:sp macro="[0]!CH_4" textlink="">
      <xdr:nvSpPr>
        <xdr:cNvPr id="47" name="Rectangle: Beveled 46">
          <a:extLst>
            <a:ext uri="{FF2B5EF4-FFF2-40B4-BE49-F238E27FC236}">
              <a16:creationId xmlns:a16="http://schemas.microsoft.com/office/drawing/2014/main" id="{BD17404B-5F93-4BF0-95C4-8D52083D4FC6}"/>
            </a:ext>
          </a:extLst>
        </xdr:cNvPr>
        <xdr:cNvSpPr/>
      </xdr:nvSpPr>
      <xdr:spPr>
        <a:xfrm>
          <a:off x="9254488" y="12175331"/>
          <a:ext cx="107061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no.14</a:t>
          </a:r>
        </a:p>
      </xdr:txBody>
    </xdr:sp>
    <xdr:clientData/>
  </xdr:twoCellAnchor>
  <xdr:twoCellAnchor>
    <xdr:from>
      <xdr:col>13</xdr:col>
      <xdr:colOff>261936</xdr:colOff>
      <xdr:row>77</xdr:row>
      <xdr:rowOff>63341</xdr:rowOff>
    </xdr:from>
    <xdr:to>
      <xdr:col>13</xdr:col>
      <xdr:colOff>1303019</xdr:colOff>
      <xdr:row>79</xdr:row>
      <xdr:rowOff>170497</xdr:rowOff>
    </xdr:to>
    <xdr:sp macro="[0]!CH_5" textlink="">
      <xdr:nvSpPr>
        <xdr:cNvPr id="48" name="Rectangle: Beveled 47">
          <a:extLst>
            <a:ext uri="{FF2B5EF4-FFF2-40B4-BE49-F238E27FC236}">
              <a16:creationId xmlns:a16="http://schemas.microsoft.com/office/drawing/2014/main" id="{939CDE98-15CE-4BFA-875B-A594C14A6717}"/>
            </a:ext>
          </a:extLst>
        </xdr:cNvPr>
        <xdr:cNvSpPr/>
      </xdr:nvSpPr>
      <xdr:spPr>
        <a:xfrm>
          <a:off x="9268776" y="12933521"/>
          <a:ext cx="104108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no.15</a:t>
          </a:r>
        </a:p>
      </xdr:txBody>
    </xdr:sp>
    <xdr:clientData/>
  </xdr:twoCellAnchor>
  <xdr:twoCellAnchor>
    <xdr:from>
      <xdr:col>13</xdr:col>
      <xdr:colOff>261937</xdr:colOff>
      <xdr:row>81</xdr:row>
      <xdr:rowOff>63341</xdr:rowOff>
    </xdr:from>
    <xdr:to>
      <xdr:col>13</xdr:col>
      <xdr:colOff>1325880</xdr:colOff>
      <xdr:row>83</xdr:row>
      <xdr:rowOff>170497</xdr:rowOff>
    </xdr:to>
    <xdr:sp macro="[0]!CH_6" textlink="">
      <xdr:nvSpPr>
        <xdr:cNvPr id="49" name="Rectangle: Beveled 48">
          <a:extLst>
            <a:ext uri="{FF2B5EF4-FFF2-40B4-BE49-F238E27FC236}">
              <a16:creationId xmlns:a16="http://schemas.microsoft.com/office/drawing/2014/main" id="{EFB4DA66-B410-420D-8397-6C305462490A}"/>
            </a:ext>
          </a:extLst>
        </xdr:cNvPr>
        <xdr:cNvSpPr/>
      </xdr:nvSpPr>
      <xdr:spPr>
        <a:xfrm>
          <a:off x="9268777" y="13695521"/>
          <a:ext cx="10639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no.16</a:t>
          </a:r>
        </a:p>
      </xdr:txBody>
    </xdr:sp>
    <xdr:clientData/>
  </xdr:twoCellAnchor>
  <xdr:twoCellAnchor>
    <xdr:from>
      <xdr:col>13</xdr:col>
      <xdr:colOff>261936</xdr:colOff>
      <xdr:row>85</xdr:row>
      <xdr:rowOff>66675</xdr:rowOff>
    </xdr:from>
    <xdr:to>
      <xdr:col>13</xdr:col>
      <xdr:colOff>1318259</xdr:colOff>
      <xdr:row>87</xdr:row>
      <xdr:rowOff>173831</xdr:rowOff>
    </xdr:to>
    <xdr:sp macro="[0]!CH_7" textlink="">
      <xdr:nvSpPr>
        <xdr:cNvPr id="50" name="Rectangle: Beveled 49">
          <a:extLst>
            <a:ext uri="{FF2B5EF4-FFF2-40B4-BE49-F238E27FC236}">
              <a16:creationId xmlns:a16="http://schemas.microsoft.com/office/drawing/2014/main" id="{E8DCF891-7DCD-4A67-96E6-BB7A1ADAED8D}"/>
            </a:ext>
          </a:extLst>
        </xdr:cNvPr>
        <xdr:cNvSpPr/>
      </xdr:nvSpPr>
      <xdr:spPr>
        <a:xfrm>
          <a:off x="9268776" y="14460855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no.17</a:t>
          </a:r>
        </a:p>
      </xdr:txBody>
    </xdr:sp>
    <xdr:clientData/>
  </xdr:twoCellAnchor>
  <xdr:twoCellAnchor>
    <xdr:from>
      <xdr:col>13</xdr:col>
      <xdr:colOff>261938</xdr:colOff>
      <xdr:row>89</xdr:row>
      <xdr:rowOff>58102</xdr:rowOff>
    </xdr:from>
    <xdr:to>
      <xdr:col>13</xdr:col>
      <xdr:colOff>1341120</xdr:colOff>
      <xdr:row>91</xdr:row>
      <xdr:rowOff>165258</xdr:rowOff>
    </xdr:to>
    <xdr:sp macro="[0]!CH_8" textlink="">
      <xdr:nvSpPr>
        <xdr:cNvPr id="51" name="Rectangle: Beveled 50">
          <a:extLst>
            <a:ext uri="{FF2B5EF4-FFF2-40B4-BE49-F238E27FC236}">
              <a16:creationId xmlns:a16="http://schemas.microsoft.com/office/drawing/2014/main" id="{2A66D71F-3B0F-43D5-A3D7-A8BC60E8BF60}"/>
            </a:ext>
          </a:extLst>
        </xdr:cNvPr>
        <xdr:cNvSpPr/>
      </xdr:nvSpPr>
      <xdr:spPr>
        <a:xfrm>
          <a:off x="9268778" y="15214282"/>
          <a:ext cx="10791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no.18</a:t>
          </a:r>
        </a:p>
      </xdr:txBody>
    </xdr:sp>
    <xdr:clientData/>
  </xdr:twoCellAnchor>
  <xdr:twoCellAnchor>
    <xdr:from>
      <xdr:col>13</xdr:col>
      <xdr:colOff>250030</xdr:colOff>
      <xdr:row>93</xdr:row>
      <xdr:rowOff>57626</xdr:rowOff>
    </xdr:from>
    <xdr:to>
      <xdr:col>13</xdr:col>
      <xdr:colOff>1402080</xdr:colOff>
      <xdr:row>95</xdr:row>
      <xdr:rowOff>164782</xdr:rowOff>
    </xdr:to>
    <xdr:sp macro="[0]!CH_9" textlink="">
      <xdr:nvSpPr>
        <xdr:cNvPr id="52" name="Rectangle: Beveled 51">
          <a:extLst>
            <a:ext uri="{FF2B5EF4-FFF2-40B4-BE49-F238E27FC236}">
              <a16:creationId xmlns:a16="http://schemas.microsoft.com/office/drawing/2014/main" id="{2B948F99-DAC4-4F6A-AC75-BA7662E09C9B}"/>
            </a:ext>
          </a:extLst>
        </xdr:cNvPr>
        <xdr:cNvSpPr/>
      </xdr:nvSpPr>
      <xdr:spPr>
        <a:xfrm>
          <a:off x="9256870" y="15975806"/>
          <a:ext cx="1152050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no.19</a:t>
          </a:r>
        </a:p>
      </xdr:txBody>
    </xdr:sp>
    <xdr:clientData/>
  </xdr:twoCellAnchor>
  <xdr:twoCellAnchor>
    <xdr:from>
      <xdr:col>13</xdr:col>
      <xdr:colOff>250031</xdr:colOff>
      <xdr:row>97</xdr:row>
      <xdr:rowOff>70008</xdr:rowOff>
    </xdr:from>
    <xdr:to>
      <xdr:col>13</xdr:col>
      <xdr:colOff>1325880</xdr:colOff>
      <xdr:row>99</xdr:row>
      <xdr:rowOff>177164</xdr:rowOff>
    </xdr:to>
    <xdr:sp macro="[0]!CH_10" textlink="">
      <xdr:nvSpPr>
        <xdr:cNvPr id="53" name="Rectangle: Beveled 52">
          <a:extLst>
            <a:ext uri="{FF2B5EF4-FFF2-40B4-BE49-F238E27FC236}">
              <a16:creationId xmlns:a16="http://schemas.microsoft.com/office/drawing/2014/main" id="{2C9794FD-4AEE-4028-A9AA-073AB68E62E1}"/>
            </a:ext>
          </a:extLst>
        </xdr:cNvPr>
        <xdr:cNvSpPr/>
      </xdr:nvSpPr>
      <xdr:spPr>
        <a:xfrm>
          <a:off x="9256871" y="16750188"/>
          <a:ext cx="1075849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no.20</a:t>
          </a:r>
        </a:p>
      </xdr:txBody>
    </xdr:sp>
    <xdr:clientData/>
  </xdr:twoCellAnchor>
  <xdr:twoCellAnchor>
    <xdr:from>
      <xdr:col>13</xdr:col>
      <xdr:colOff>250029</xdr:colOff>
      <xdr:row>101</xdr:row>
      <xdr:rowOff>67153</xdr:rowOff>
    </xdr:from>
    <xdr:to>
      <xdr:col>13</xdr:col>
      <xdr:colOff>1356360</xdr:colOff>
      <xdr:row>103</xdr:row>
      <xdr:rowOff>174309</xdr:rowOff>
    </xdr:to>
    <xdr:sp macro="[0]!CH_1" textlink="">
      <xdr:nvSpPr>
        <xdr:cNvPr id="54" name="Rectangle: Beveled 53">
          <a:extLst>
            <a:ext uri="{FF2B5EF4-FFF2-40B4-BE49-F238E27FC236}">
              <a16:creationId xmlns:a16="http://schemas.microsoft.com/office/drawing/2014/main" id="{DADD051D-DCDE-40C0-8D82-06568B466D08}"/>
            </a:ext>
          </a:extLst>
        </xdr:cNvPr>
        <xdr:cNvSpPr/>
      </xdr:nvSpPr>
      <xdr:spPr>
        <a:xfrm>
          <a:off x="9256869" y="17509333"/>
          <a:ext cx="11063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no.21</a:t>
          </a:r>
        </a:p>
      </xdr:txBody>
    </xdr:sp>
    <xdr:clientData/>
  </xdr:twoCellAnchor>
  <xdr:twoCellAnchor>
    <xdr:from>
      <xdr:col>13</xdr:col>
      <xdr:colOff>247648</xdr:colOff>
      <xdr:row>105</xdr:row>
      <xdr:rowOff>64771</xdr:rowOff>
    </xdr:from>
    <xdr:to>
      <xdr:col>13</xdr:col>
      <xdr:colOff>1356359</xdr:colOff>
      <xdr:row>107</xdr:row>
      <xdr:rowOff>171927</xdr:rowOff>
    </xdr:to>
    <xdr:sp macro="[0]!CH_2" textlink="">
      <xdr:nvSpPr>
        <xdr:cNvPr id="55" name="Rectangle: Beveled 54">
          <a:extLst>
            <a:ext uri="{FF2B5EF4-FFF2-40B4-BE49-F238E27FC236}">
              <a16:creationId xmlns:a16="http://schemas.microsoft.com/office/drawing/2014/main" id="{AD4DBB0B-1838-4A24-A9DE-489C33425F7D}"/>
            </a:ext>
          </a:extLst>
        </xdr:cNvPr>
        <xdr:cNvSpPr/>
      </xdr:nvSpPr>
      <xdr:spPr>
        <a:xfrm>
          <a:off x="9254488" y="18268951"/>
          <a:ext cx="110871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no.22</a:t>
          </a:r>
        </a:p>
      </xdr:txBody>
    </xdr:sp>
    <xdr:clientData/>
  </xdr:twoCellAnchor>
  <xdr:twoCellAnchor>
    <xdr:from>
      <xdr:col>13</xdr:col>
      <xdr:colOff>261936</xdr:colOff>
      <xdr:row>109</xdr:row>
      <xdr:rowOff>71438</xdr:rowOff>
    </xdr:from>
    <xdr:to>
      <xdr:col>13</xdr:col>
      <xdr:colOff>1318259</xdr:colOff>
      <xdr:row>111</xdr:row>
      <xdr:rowOff>178594</xdr:rowOff>
    </xdr:to>
    <xdr:sp macro="[0]!CH_3" textlink="">
      <xdr:nvSpPr>
        <xdr:cNvPr id="56" name="Rectangle: Beveled 55">
          <a:extLst>
            <a:ext uri="{FF2B5EF4-FFF2-40B4-BE49-F238E27FC236}">
              <a16:creationId xmlns:a16="http://schemas.microsoft.com/office/drawing/2014/main" id="{11601A49-C0D6-40BA-9010-8383C486AA2C}"/>
            </a:ext>
          </a:extLst>
        </xdr:cNvPr>
        <xdr:cNvSpPr/>
      </xdr:nvSpPr>
      <xdr:spPr>
        <a:xfrm>
          <a:off x="9268776" y="19037618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no.23</a:t>
          </a:r>
        </a:p>
      </xdr:txBody>
    </xdr:sp>
    <xdr:clientData/>
  </xdr:twoCellAnchor>
  <xdr:twoCellAnchor>
    <xdr:from>
      <xdr:col>13</xdr:col>
      <xdr:colOff>247648</xdr:colOff>
      <xdr:row>113</xdr:row>
      <xdr:rowOff>67151</xdr:rowOff>
    </xdr:from>
    <xdr:to>
      <xdr:col>13</xdr:col>
      <xdr:colOff>1341119</xdr:colOff>
      <xdr:row>115</xdr:row>
      <xdr:rowOff>174307</xdr:rowOff>
    </xdr:to>
    <xdr:sp macro="[0]!CH_4" textlink="">
      <xdr:nvSpPr>
        <xdr:cNvPr id="57" name="Rectangle: Beveled 56">
          <a:extLst>
            <a:ext uri="{FF2B5EF4-FFF2-40B4-BE49-F238E27FC236}">
              <a16:creationId xmlns:a16="http://schemas.microsoft.com/office/drawing/2014/main" id="{B5DF0B50-C773-4255-8980-6E44D7CC763B}"/>
            </a:ext>
          </a:extLst>
        </xdr:cNvPr>
        <xdr:cNvSpPr/>
      </xdr:nvSpPr>
      <xdr:spPr>
        <a:xfrm>
          <a:off x="9254488" y="19795331"/>
          <a:ext cx="109347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no.24</a:t>
          </a:r>
        </a:p>
      </xdr:txBody>
    </xdr:sp>
    <xdr:clientData/>
  </xdr:twoCellAnchor>
  <xdr:twoCellAnchor>
    <xdr:from>
      <xdr:col>13</xdr:col>
      <xdr:colOff>261936</xdr:colOff>
      <xdr:row>117</xdr:row>
      <xdr:rowOff>70961</xdr:rowOff>
    </xdr:from>
    <xdr:to>
      <xdr:col>13</xdr:col>
      <xdr:colOff>1318259</xdr:colOff>
      <xdr:row>119</xdr:row>
      <xdr:rowOff>178117</xdr:rowOff>
    </xdr:to>
    <xdr:sp macro="[0]!CH_5" textlink="">
      <xdr:nvSpPr>
        <xdr:cNvPr id="58" name="Rectangle: Beveled 57">
          <a:extLst>
            <a:ext uri="{FF2B5EF4-FFF2-40B4-BE49-F238E27FC236}">
              <a16:creationId xmlns:a16="http://schemas.microsoft.com/office/drawing/2014/main" id="{C0A72EBD-7243-4416-9E95-514BC475E89B}"/>
            </a:ext>
          </a:extLst>
        </xdr:cNvPr>
        <xdr:cNvSpPr/>
      </xdr:nvSpPr>
      <xdr:spPr>
        <a:xfrm>
          <a:off x="9268776" y="20561141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no.25</a:t>
          </a:r>
        </a:p>
      </xdr:txBody>
    </xdr:sp>
    <xdr:clientData/>
  </xdr:twoCellAnchor>
  <xdr:twoCellAnchor>
    <xdr:from>
      <xdr:col>13</xdr:col>
      <xdr:colOff>261937</xdr:colOff>
      <xdr:row>121</xdr:row>
      <xdr:rowOff>70961</xdr:rowOff>
    </xdr:from>
    <xdr:to>
      <xdr:col>13</xdr:col>
      <xdr:colOff>1379220</xdr:colOff>
      <xdr:row>123</xdr:row>
      <xdr:rowOff>178117</xdr:rowOff>
    </xdr:to>
    <xdr:sp macro="[0]!CH_6" textlink="">
      <xdr:nvSpPr>
        <xdr:cNvPr id="59" name="Rectangle: Beveled 58">
          <a:extLst>
            <a:ext uri="{FF2B5EF4-FFF2-40B4-BE49-F238E27FC236}">
              <a16:creationId xmlns:a16="http://schemas.microsoft.com/office/drawing/2014/main" id="{3FE18817-FFB1-4E4A-A103-35259D3DCC3C}"/>
            </a:ext>
          </a:extLst>
        </xdr:cNvPr>
        <xdr:cNvSpPr/>
      </xdr:nvSpPr>
      <xdr:spPr>
        <a:xfrm>
          <a:off x="9268777" y="21323141"/>
          <a:ext cx="111728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no.26</a:t>
          </a:r>
        </a:p>
      </xdr:txBody>
    </xdr:sp>
    <xdr:clientData/>
  </xdr:twoCellAnchor>
  <xdr:twoCellAnchor>
    <xdr:from>
      <xdr:col>13</xdr:col>
      <xdr:colOff>261936</xdr:colOff>
      <xdr:row>125</xdr:row>
      <xdr:rowOff>59055</xdr:rowOff>
    </xdr:from>
    <xdr:to>
      <xdr:col>13</xdr:col>
      <xdr:colOff>1325879</xdr:colOff>
      <xdr:row>127</xdr:row>
      <xdr:rowOff>166211</xdr:rowOff>
    </xdr:to>
    <xdr:sp macro="[0]!CH_7" textlink="">
      <xdr:nvSpPr>
        <xdr:cNvPr id="60" name="Rectangle: Beveled 59">
          <a:extLst>
            <a:ext uri="{FF2B5EF4-FFF2-40B4-BE49-F238E27FC236}">
              <a16:creationId xmlns:a16="http://schemas.microsoft.com/office/drawing/2014/main" id="{2D705AAC-A9A8-44AA-87D1-04A49AE951DF}"/>
            </a:ext>
          </a:extLst>
        </xdr:cNvPr>
        <xdr:cNvSpPr/>
      </xdr:nvSpPr>
      <xdr:spPr>
        <a:xfrm>
          <a:off x="9268776" y="22073235"/>
          <a:ext cx="10639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no.27</a:t>
          </a:r>
        </a:p>
      </xdr:txBody>
    </xdr:sp>
    <xdr:clientData/>
  </xdr:twoCellAnchor>
  <xdr:twoCellAnchor>
    <xdr:from>
      <xdr:col>13</xdr:col>
      <xdr:colOff>261938</xdr:colOff>
      <xdr:row>129</xdr:row>
      <xdr:rowOff>58102</xdr:rowOff>
    </xdr:from>
    <xdr:to>
      <xdr:col>13</xdr:col>
      <xdr:colOff>1379220</xdr:colOff>
      <xdr:row>131</xdr:row>
      <xdr:rowOff>165258</xdr:rowOff>
    </xdr:to>
    <xdr:sp macro="[0]!CH_8" textlink="">
      <xdr:nvSpPr>
        <xdr:cNvPr id="61" name="Rectangle: Beveled 60">
          <a:extLst>
            <a:ext uri="{FF2B5EF4-FFF2-40B4-BE49-F238E27FC236}">
              <a16:creationId xmlns:a16="http://schemas.microsoft.com/office/drawing/2014/main" id="{67CF3E56-1DF4-4D03-8085-15E1411EAD96}"/>
            </a:ext>
          </a:extLst>
        </xdr:cNvPr>
        <xdr:cNvSpPr/>
      </xdr:nvSpPr>
      <xdr:spPr>
        <a:xfrm>
          <a:off x="9268778" y="22834282"/>
          <a:ext cx="11172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no.28</a:t>
          </a:r>
        </a:p>
      </xdr:txBody>
    </xdr:sp>
    <xdr:clientData/>
  </xdr:twoCellAnchor>
  <xdr:twoCellAnchor>
    <xdr:from>
      <xdr:col>13</xdr:col>
      <xdr:colOff>250030</xdr:colOff>
      <xdr:row>133</xdr:row>
      <xdr:rowOff>57626</xdr:rowOff>
    </xdr:from>
    <xdr:to>
      <xdr:col>13</xdr:col>
      <xdr:colOff>1273967</xdr:colOff>
      <xdr:row>135</xdr:row>
      <xdr:rowOff>164782</xdr:rowOff>
    </xdr:to>
    <xdr:sp macro="[0]!CH_9" textlink="">
      <xdr:nvSpPr>
        <xdr:cNvPr id="62" name="Rectangle: Beveled 61">
          <a:extLst>
            <a:ext uri="{FF2B5EF4-FFF2-40B4-BE49-F238E27FC236}">
              <a16:creationId xmlns:a16="http://schemas.microsoft.com/office/drawing/2014/main" id="{91E3120D-ADBE-428D-8BD4-A9A039FDA7BA}"/>
            </a:ext>
          </a:extLst>
        </xdr:cNvPr>
        <xdr:cNvSpPr/>
      </xdr:nvSpPr>
      <xdr:spPr>
        <a:xfrm>
          <a:off x="9256870" y="23595806"/>
          <a:ext cx="1023937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no.29</a:t>
          </a:r>
        </a:p>
      </xdr:txBody>
    </xdr:sp>
    <xdr:clientData/>
  </xdr:twoCellAnchor>
  <xdr:twoCellAnchor>
    <xdr:from>
      <xdr:col>13</xdr:col>
      <xdr:colOff>250031</xdr:colOff>
      <xdr:row>137</xdr:row>
      <xdr:rowOff>70008</xdr:rowOff>
    </xdr:from>
    <xdr:to>
      <xdr:col>13</xdr:col>
      <xdr:colOff>1262062</xdr:colOff>
      <xdr:row>139</xdr:row>
      <xdr:rowOff>177164</xdr:rowOff>
    </xdr:to>
    <xdr:sp macro="[0]!CH_10" textlink="">
      <xdr:nvSpPr>
        <xdr:cNvPr id="63" name="Rectangle: Beveled 62">
          <a:extLst>
            <a:ext uri="{FF2B5EF4-FFF2-40B4-BE49-F238E27FC236}">
              <a16:creationId xmlns:a16="http://schemas.microsoft.com/office/drawing/2014/main" id="{E1D4562B-7B9D-4E2E-93C5-281323BBAB7A}"/>
            </a:ext>
          </a:extLst>
        </xdr:cNvPr>
        <xdr:cNvSpPr/>
      </xdr:nvSpPr>
      <xdr:spPr>
        <a:xfrm>
          <a:off x="9256871" y="24370188"/>
          <a:ext cx="10120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no.30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26106-5EB7-4BBB-A739-5856ECBF95E0}">
  <dimension ref="A1:F34"/>
  <sheetViews>
    <sheetView workbookViewId="0">
      <selection activeCell="C29" sqref="C29"/>
    </sheetView>
  </sheetViews>
  <sheetFormatPr defaultRowHeight="13.2"/>
  <cols>
    <col min="1" max="1" width="3.69921875" style="118" customWidth="1"/>
    <col min="2" max="2" width="13.3984375" style="49" customWidth="1"/>
    <col min="3" max="3" width="42.69921875" style="49" customWidth="1"/>
    <col min="4" max="4" width="14.19921875" style="49" bestFit="1" customWidth="1"/>
    <col min="5" max="5" width="13.3984375" style="50" customWidth="1"/>
    <col min="6" max="6" width="15.796875" style="50" customWidth="1"/>
    <col min="7" max="16384" width="8.796875" style="49"/>
  </cols>
  <sheetData>
    <row r="1" spans="1:6">
      <c r="B1" s="114"/>
      <c r="C1" s="114"/>
      <c r="D1" s="114"/>
    </row>
    <row r="2" spans="1:6" ht="13.8">
      <c r="B2" s="49" t="s">
        <v>55</v>
      </c>
      <c r="C2" s="49" t="s">
        <v>56</v>
      </c>
      <c r="D2" s="49" t="s">
        <v>19</v>
      </c>
      <c r="E2" s="51" t="s">
        <v>53</v>
      </c>
      <c r="F2" s="51" t="s">
        <v>54</v>
      </c>
    </row>
    <row r="3" spans="1:6" ht="13.8">
      <c r="A3" s="118">
        <v>1</v>
      </c>
      <c r="B3" s="52" t="s">
        <v>20</v>
      </c>
      <c r="C3" s="53" t="s">
        <v>123</v>
      </c>
      <c r="D3" s="54" t="s">
        <v>37</v>
      </c>
      <c r="E3" s="115" t="s">
        <v>57</v>
      </c>
      <c r="F3" s="115">
        <v>24070001</v>
      </c>
    </row>
    <row r="4" spans="1:6" ht="13.8">
      <c r="A4" s="118">
        <v>2</v>
      </c>
      <c r="B4" s="52" t="s">
        <v>21</v>
      </c>
      <c r="C4" s="53" t="s">
        <v>124</v>
      </c>
      <c r="D4" s="54" t="s">
        <v>38</v>
      </c>
      <c r="E4" s="115" t="s">
        <v>58</v>
      </c>
      <c r="F4" s="115">
        <v>24070002</v>
      </c>
    </row>
    <row r="5" spans="1:6" ht="13.8">
      <c r="A5" s="118">
        <v>3</v>
      </c>
      <c r="B5" s="55" t="s">
        <v>22</v>
      </c>
      <c r="C5" s="53" t="s">
        <v>125</v>
      </c>
      <c r="D5" s="54" t="s">
        <v>39</v>
      </c>
      <c r="E5" s="115" t="s">
        <v>59</v>
      </c>
      <c r="F5" s="115">
        <v>24070003</v>
      </c>
    </row>
    <row r="6" spans="1:6" ht="13.8">
      <c r="A6" s="118">
        <v>4</v>
      </c>
      <c r="B6" s="52" t="s">
        <v>23</v>
      </c>
      <c r="C6" s="53" t="s">
        <v>126</v>
      </c>
      <c r="D6" s="54" t="s">
        <v>40</v>
      </c>
      <c r="E6" s="115" t="s">
        <v>60</v>
      </c>
      <c r="F6" s="115">
        <v>24070004</v>
      </c>
    </row>
    <row r="7" spans="1:6" ht="13.8">
      <c r="A7" s="118">
        <v>5</v>
      </c>
      <c r="B7" s="54" t="s">
        <v>24</v>
      </c>
      <c r="C7" s="53" t="s">
        <v>127</v>
      </c>
      <c r="D7" s="54" t="s">
        <v>41</v>
      </c>
      <c r="E7" s="115" t="s">
        <v>61</v>
      </c>
      <c r="F7" s="115">
        <v>24070005</v>
      </c>
    </row>
    <row r="8" spans="1:6" ht="13.8">
      <c r="A8" s="118">
        <v>6</v>
      </c>
      <c r="B8" s="54" t="s">
        <v>25</v>
      </c>
      <c r="C8" s="53" t="s">
        <v>128</v>
      </c>
      <c r="D8" s="54" t="s">
        <v>42</v>
      </c>
      <c r="E8" s="115" t="s">
        <v>62</v>
      </c>
      <c r="F8" s="115">
        <v>24070006</v>
      </c>
    </row>
    <row r="9" spans="1:6" ht="13.8">
      <c r="A9" s="118">
        <v>7</v>
      </c>
      <c r="B9" s="54" t="s">
        <v>26</v>
      </c>
      <c r="C9" s="53" t="s">
        <v>129</v>
      </c>
      <c r="D9" s="54" t="s">
        <v>43</v>
      </c>
      <c r="E9" s="115" t="s">
        <v>63</v>
      </c>
      <c r="F9" s="115">
        <v>24070007</v>
      </c>
    </row>
    <row r="10" spans="1:6" ht="13.8">
      <c r="A10" s="118">
        <v>8</v>
      </c>
      <c r="B10" s="54" t="s">
        <v>27</v>
      </c>
      <c r="C10" s="53" t="s">
        <v>130</v>
      </c>
      <c r="D10" s="54" t="s">
        <v>44</v>
      </c>
      <c r="E10" s="115" t="s">
        <v>64</v>
      </c>
      <c r="F10" s="115">
        <v>24070008</v>
      </c>
    </row>
    <row r="11" spans="1:6" ht="13.8">
      <c r="A11" s="118">
        <v>9</v>
      </c>
      <c r="B11" s="52" t="s">
        <v>28</v>
      </c>
      <c r="C11" s="53" t="s">
        <v>131</v>
      </c>
      <c r="D11" s="54" t="s">
        <v>45</v>
      </c>
      <c r="E11" s="115" t="s">
        <v>65</v>
      </c>
      <c r="F11" s="115">
        <v>24070009</v>
      </c>
    </row>
    <row r="12" spans="1:6" ht="13.8">
      <c r="A12" s="118">
        <v>10</v>
      </c>
      <c r="B12" s="52" t="s">
        <v>29</v>
      </c>
      <c r="C12" s="53" t="s">
        <v>132</v>
      </c>
      <c r="D12" s="54" t="s">
        <v>46</v>
      </c>
      <c r="E12" s="115" t="s">
        <v>66</v>
      </c>
      <c r="F12" s="115">
        <v>24070010</v>
      </c>
    </row>
    <row r="13" spans="1:6" ht="13.8">
      <c r="A13" s="118">
        <v>11</v>
      </c>
      <c r="B13" s="52" t="s">
        <v>30</v>
      </c>
      <c r="C13" s="53" t="s">
        <v>133</v>
      </c>
      <c r="D13" s="54" t="s">
        <v>47</v>
      </c>
      <c r="E13" s="115" t="s">
        <v>67</v>
      </c>
      <c r="F13" s="115">
        <v>24070011</v>
      </c>
    </row>
    <row r="14" spans="1:6" ht="13.8">
      <c r="A14" s="118">
        <v>12</v>
      </c>
      <c r="B14" s="52" t="s">
        <v>31</v>
      </c>
      <c r="C14" s="53" t="s">
        <v>134</v>
      </c>
      <c r="D14" s="54" t="s">
        <v>48</v>
      </c>
      <c r="E14" s="115" t="s">
        <v>68</v>
      </c>
      <c r="F14" s="115">
        <v>24070012</v>
      </c>
    </row>
    <row r="15" spans="1:6" ht="13.8">
      <c r="A15" s="118">
        <v>13</v>
      </c>
      <c r="B15" s="54" t="s">
        <v>32</v>
      </c>
      <c r="C15" s="53" t="s">
        <v>135</v>
      </c>
      <c r="D15" s="54" t="s">
        <v>49</v>
      </c>
      <c r="E15" s="115" t="s">
        <v>69</v>
      </c>
      <c r="F15" s="115">
        <v>24070013</v>
      </c>
    </row>
    <row r="16" spans="1:6" ht="13.8">
      <c r="A16" s="118">
        <v>14</v>
      </c>
      <c r="B16" s="54" t="s">
        <v>33</v>
      </c>
      <c r="C16" s="53" t="s">
        <v>136</v>
      </c>
      <c r="D16" s="54" t="s">
        <v>50</v>
      </c>
      <c r="E16" s="115" t="s">
        <v>70</v>
      </c>
      <c r="F16" s="115">
        <v>24070014</v>
      </c>
    </row>
    <row r="17" spans="1:6" ht="13.8">
      <c r="A17" s="118">
        <v>15</v>
      </c>
      <c r="B17" s="54" t="s">
        <v>34</v>
      </c>
      <c r="C17" s="53" t="s">
        <v>137</v>
      </c>
      <c r="D17" s="54" t="s">
        <v>51</v>
      </c>
      <c r="E17" s="115" t="s">
        <v>71</v>
      </c>
      <c r="F17" s="115">
        <v>24070015</v>
      </c>
    </row>
    <row r="18" spans="1:6" ht="13.8">
      <c r="A18" s="118">
        <v>16</v>
      </c>
      <c r="B18" s="54" t="s">
        <v>35</v>
      </c>
      <c r="C18" s="53" t="s">
        <v>138</v>
      </c>
      <c r="D18" s="54" t="s">
        <v>52</v>
      </c>
      <c r="E18" s="115" t="s">
        <v>72</v>
      </c>
      <c r="F18" s="115">
        <v>24070016</v>
      </c>
    </row>
    <row r="19" spans="1:6" ht="13.8">
      <c r="A19" s="118">
        <v>17</v>
      </c>
      <c r="B19" s="54" t="s">
        <v>36</v>
      </c>
      <c r="C19" s="53" t="s">
        <v>139</v>
      </c>
      <c r="D19" s="54" t="s">
        <v>103</v>
      </c>
      <c r="E19" s="115" t="s">
        <v>73</v>
      </c>
      <c r="F19" s="115">
        <v>24070017</v>
      </c>
    </row>
    <row r="20" spans="1:6" ht="13.8">
      <c r="A20" s="118">
        <v>18</v>
      </c>
      <c r="B20" s="54" t="s">
        <v>90</v>
      </c>
      <c r="C20" s="53" t="s">
        <v>140</v>
      </c>
      <c r="D20" s="54" t="s">
        <v>104</v>
      </c>
      <c r="E20" s="115" t="s">
        <v>77</v>
      </c>
      <c r="F20" s="115">
        <v>24070018</v>
      </c>
    </row>
    <row r="21" spans="1:6" ht="13.8">
      <c r="A21" s="118">
        <v>19</v>
      </c>
      <c r="B21" s="54" t="s">
        <v>91</v>
      </c>
      <c r="C21" s="53" t="s">
        <v>141</v>
      </c>
      <c r="D21" s="54" t="s">
        <v>105</v>
      </c>
      <c r="E21" s="115" t="s">
        <v>78</v>
      </c>
      <c r="F21" s="115">
        <v>24070019</v>
      </c>
    </row>
    <row r="22" spans="1:6" ht="13.8">
      <c r="A22" s="118">
        <v>20</v>
      </c>
      <c r="B22" s="54" t="s">
        <v>92</v>
      </c>
      <c r="C22" s="53" t="s">
        <v>142</v>
      </c>
      <c r="D22" s="54" t="s">
        <v>106</v>
      </c>
      <c r="E22" s="115" t="s">
        <v>79</v>
      </c>
      <c r="F22" s="115">
        <v>24070020</v>
      </c>
    </row>
    <row r="23" spans="1:6" ht="13.8">
      <c r="A23" s="118">
        <v>21</v>
      </c>
      <c r="B23" s="54" t="s">
        <v>93</v>
      </c>
      <c r="C23" s="53" t="s">
        <v>143</v>
      </c>
      <c r="D23" s="54" t="s">
        <v>107</v>
      </c>
      <c r="E23" s="115" t="s">
        <v>80</v>
      </c>
      <c r="F23" s="115">
        <v>24070021</v>
      </c>
    </row>
    <row r="24" spans="1:6" ht="13.8">
      <c r="A24" s="118">
        <v>22</v>
      </c>
      <c r="B24" s="54" t="s">
        <v>94</v>
      </c>
      <c r="C24" s="53" t="s">
        <v>144</v>
      </c>
      <c r="D24" s="54" t="s">
        <v>108</v>
      </c>
      <c r="E24" s="115" t="s">
        <v>81</v>
      </c>
      <c r="F24" s="115">
        <v>24070022</v>
      </c>
    </row>
    <row r="25" spans="1:6" ht="13.8">
      <c r="A25" s="118">
        <v>23</v>
      </c>
      <c r="B25" s="54" t="s">
        <v>95</v>
      </c>
      <c r="C25" s="53" t="s">
        <v>145</v>
      </c>
      <c r="D25" s="54" t="s">
        <v>109</v>
      </c>
      <c r="E25" s="115" t="s">
        <v>82</v>
      </c>
      <c r="F25" s="115">
        <v>24070023</v>
      </c>
    </row>
    <row r="26" spans="1:6" ht="13.8">
      <c r="A26" s="118">
        <v>24</v>
      </c>
      <c r="B26" s="54" t="s">
        <v>96</v>
      </c>
      <c r="C26" s="53" t="s">
        <v>146</v>
      </c>
      <c r="D26" s="54" t="s">
        <v>110</v>
      </c>
      <c r="E26" s="115" t="s">
        <v>83</v>
      </c>
      <c r="F26" s="115">
        <v>24070024</v>
      </c>
    </row>
    <row r="27" spans="1:6" ht="13.8">
      <c r="A27" s="118">
        <v>25</v>
      </c>
      <c r="B27" s="54" t="s">
        <v>97</v>
      </c>
      <c r="C27" s="53" t="s">
        <v>147</v>
      </c>
      <c r="D27" s="54" t="s">
        <v>111</v>
      </c>
      <c r="E27" s="115" t="s">
        <v>84</v>
      </c>
      <c r="F27" s="115">
        <v>24070025</v>
      </c>
    </row>
    <row r="28" spans="1:6" ht="13.8">
      <c r="A28" s="118">
        <v>26</v>
      </c>
      <c r="B28" s="54" t="s">
        <v>98</v>
      </c>
      <c r="C28" s="53" t="s">
        <v>148</v>
      </c>
      <c r="D28" s="54" t="s">
        <v>112</v>
      </c>
      <c r="E28" s="115" t="s">
        <v>85</v>
      </c>
      <c r="F28" s="115">
        <v>24070026</v>
      </c>
    </row>
    <row r="29" spans="1:6" ht="13.8">
      <c r="A29" s="118">
        <v>27</v>
      </c>
      <c r="B29" s="54" t="s">
        <v>99</v>
      </c>
      <c r="C29" s="53" t="s">
        <v>149</v>
      </c>
      <c r="D29" s="54" t="s">
        <v>113</v>
      </c>
      <c r="E29" s="115" t="s">
        <v>86</v>
      </c>
      <c r="F29" s="115">
        <v>24070027</v>
      </c>
    </row>
    <row r="30" spans="1:6" ht="13.8">
      <c r="A30" s="118">
        <v>28</v>
      </c>
      <c r="B30" s="54" t="s">
        <v>100</v>
      </c>
      <c r="C30" s="53" t="s">
        <v>150</v>
      </c>
      <c r="D30" s="54" t="s">
        <v>114</v>
      </c>
      <c r="E30" s="115" t="s">
        <v>87</v>
      </c>
      <c r="F30" s="115">
        <v>24070028</v>
      </c>
    </row>
    <row r="31" spans="1:6" ht="13.8">
      <c r="A31" s="118">
        <v>29</v>
      </c>
      <c r="B31" s="54" t="s">
        <v>101</v>
      </c>
      <c r="C31" s="53" t="s">
        <v>151</v>
      </c>
      <c r="D31" s="54" t="s">
        <v>115</v>
      </c>
      <c r="E31" s="115" t="s">
        <v>88</v>
      </c>
      <c r="F31" s="115">
        <v>24070029</v>
      </c>
    </row>
    <row r="32" spans="1:6" ht="13.8">
      <c r="A32" s="118">
        <v>30</v>
      </c>
      <c r="B32" s="54" t="s">
        <v>102</v>
      </c>
      <c r="C32" s="53" t="s">
        <v>152</v>
      </c>
      <c r="D32" s="54" t="s">
        <v>116</v>
      </c>
      <c r="E32" s="115" t="s">
        <v>89</v>
      </c>
      <c r="F32" s="115">
        <v>24070030</v>
      </c>
    </row>
    <row r="33" spans="1:6" ht="13.8">
      <c r="A33" s="118">
        <v>1.1000000000000001</v>
      </c>
      <c r="B33" s="54" t="s">
        <v>119</v>
      </c>
      <c r="C33" s="53" t="s">
        <v>153</v>
      </c>
      <c r="D33" s="54" t="s">
        <v>117</v>
      </c>
      <c r="E33" s="115" t="s">
        <v>121</v>
      </c>
      <c r="F33" s="115">
        <v>24070031</v>
      </c>
    </row>
    <row r="34" spans="1:6" ht="13.8">
      <c r="A34" s="118">
        <v>1.2</v>
      </c>
      <c r="B34" s="54" t="s">
        <v>120</v>
      </c>
      <c r="C34" s="53" t="s">
        <v>154</v>
      </c>
      <c r="D34" s="54" t="s">
        <v>118</v>
      </c>
      <c r="E34" s="115" t="s">
        <v>122</v>
      </c>
      <c r="F34" s="115">
        <v>24070032</v>
      </c>
    </row>
  </sheetData>
  <phoneticPr fontId="3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D2D3-9D04-48DB-A295-1F6443FDAC44}">
  <dimension ref="A1:AD536"/>
  <sheetViews>
    <sheetView tabSelected="1" topLeftCell="A10" workbookViewId="0">
      <selection activeCell="N17" sqref="N17"/>
    </sheetView>
  </sheetViews>
  <sheetFormatPr defaultColWidth="9" defaultRowHeight="14.4"/>
  <cols>
    <col min="1" max="1" width="5.19921875" style="72" bestFit="1" customWidth="1"/>
    <col min="2" max="2" width="8.69921875" style="4" customWidth="1"/>
    <col min="3" max="3" width="15.09765625" style="4" customWidth="1"/>
    <col min="4" max="4" width="1.59765625" style="4" customWidth="1"/>
    <col min="5" max="5" width="10.69921875" style="4" customWidth="1"/>
    <col min="6" max="6" width="10.8984375" style="4" customWidth="1"/>
    <col min="7" max="7" width="14.8984375" style="4" customWidth="1"/>
    <col min="8" max="8" width="5.8984375" style="4" customWidth="1"/>
    <col min="9" max="9" width="9.796875" style="72" bestFit="1" customWidth="1"/>
    <col min="10" max="10" width="8.09765625" style="4" bestFit="1" customWidth="1"/>
    <col min="11" max="11" width="9" style="131" bestFit="1" customWidth="1"/>
    <col min="12" max="12" width="6.09765625" style="4" customWidth="1"/>
    <col min="13" max="13" width="12.19921875" style="4" customWidth="1"/>
    <col min="14" max="14" width="23.59765625" style="4" customWidth="1"/>
    <col min="15" max="15" width="11.19921875" style="5" customWidth="1"/>
    <col min="16" max="16" width="11.3984375" style="1" customWidth="1"/>
    <col min="17" max="17" width="9.09765625" style="1" customWidth="1"/>
    <col min="18" max="18" width="9.8984375" style="6" customWidth="1"/>
    <col min="19" max="19" width="9.09765625" style="7" customWidth="1"/>
    <col min="20" max="20" width="3" style="2" customWidth="1"/>
    <col min="21" max="21" width="2.3984375" style="2" customWidth="1"/>
    <col min="22" max="22" width="9" style="2"/>
    <col min="23" max="23" width="18" style="2" customWidth="1"/>
    <col min="24" max="24" width="15.09765625" style="1" customWidth="1"/>
    <col min="25" max="25" width="11.3984375" style="2" customWidth="1"/>
    <col min="26" max="28" width="9" style="2" customWidth="1"/>
    <col min="29" max="29" width="9" style="2"/>
    <col min="30" max="30" width="5.09765625" style="2" customWidth="1"/>
    <col min="31" max="16384" width="9" style="4"/>
  </cols>
  <sheetData>
    <row r="1" spans="1:29" ht="20.25" hidden="1" customHeight="1">
      <c r="A1" s="1"/>
      <c r="B1" s="57"/>
      <c r="C1" s="2"/>
      <c r="D1" s="58"/>
      <c r="E1" s="58"/>
      <c r="F1" s="2"/>
      <c r="G1" s="2"/>
      <c r="H1" s="2"/>
      <c r="I1" s="1"/>
      <c r="J1" s="2"/>
      <c r="K1" s="3"/>
      <c r="L1" s="59"/>
      <c r="M1" s="2"/>
    </row>
    <row r="2" spans="1:29" hidden="1">
      <c r="A2" s="1"/>
      <c r="B2" s="2"/>
      <c r="C2" s="2"/>
      <c r="D2" s="2"/>
      <c r="E2" s="2"/>
      <c r="F2" s="2"/>
      <c r="G2" s="2"/>
      <c r="H2" s="2"/>
      <c r="I2" s="1"/>
      <c r="J2" s="2"/>
      <c r="K2" s="3"/>
      <c r="L2" s="2"/>
      <c r="M2" s="2"/>
    </row>
    <row r="3" spans="1:29" hidden="1">
      <c r="A3" s="1"/>
      <c r="B3" s="2"/>
      <c r="C3" s="2"/>
      <c r="D3" s="2"/>
      <c r="E3" s="2"/>
      <c r="F3" s="2"/>
      <c r="G3" s="2"/>
      <c r="H3" s="2"/>
      <c r="I3" s="1"/>
      <c r="J3" s="2"/>
      <c r="K3" s="3"/>
      <c r="L3" s="2"/>
      <c r="M3" s="2"/>
    </row>
    <row r="4" spans="1:29" hidden="1">
      <c r="A4" s="1"/>
      <c r="B4" s="2"/>
      <c r="C4" s="2"/>
      <c r="D4" s="2"/>
      <c r="E4" s="2"/>
      <c r="F4" s="2"/>
      <c r="G4" s="2"/>
      <c r="H4" s="2"/>
      <c r="I4" s="1"/>
      <c r="J4" s="2"/>
      <c r="K4" s="3"/>
      <c r="L4" s="2"/>
      <c r="M4" s="2"/>
    </row>
    <row r="5" spans="1:29" ht="5.25" hidden="1" customHeight="1">
      <c r="A5" s="1"/>
      <c r="B5" s="2"/>
      <c r="C5" s="2"/>
      <c r="D5" s="60"/>
      <c r="E5" s="60"/>
      <c r="F5" s="2"/>
      <c r="G5" s="2"/>
      <c r="H5" s="2"/>
      <c r="I5" s="1"/>
      <c r="J5" s="2"/>
      <c r="K5" s="3"/>
      <c r="L5" s="2"/>
      <c r="M5" s="2"/>
    </row>
    <row r="6" spans="1:29" ht="15.75" hidden="1" customHeight="1">
      <c r="A6" s="61"/>
      <c r="B6" s="56"/>
      <c r="C6" s="56"/>
      <c r="D6" s="62"/>
      <c r="E6" s="62"/>
      <c r="F6" s="56"/>
      <c r="G6" s="2"/>
      <c r="H6" s="63"/>
      <c r="I6" s="1"/>
      <c r="J6" s="64"/>
      <c r="K6" s="64"/>
      <c r="L6" s="64"/>
      <c r="M6" s="64"/>
      <c r="N6" s="65"/>
      <c r="W6" s="1"/>
    </row>
    <row r="7" spans="1:29" ht="15.75" hidden="1" customHeight="1">
      <c r="A7" s="61"/>
      <c r="B7" s="56"/>
      <c r="C7" s="56"/>
      <c r="D7" s="62"/>
      <c r="E7" s="62"/>
      <c r="F7" s="56"/>
      <c r="G7" s="2"/>
      <c r="H7" s="63"/>
      <c r="I7" s="1"/>
      <c r="J7" s="64"/>
      <c r="K7" s="64"/>
      <c r="L7" s="64"/>
      <c r="M7" s="64"/>
      <c r="N7" s="65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15.75" hidden="1" customHeight="1">
      <c r="A8" s="66"/>
      <c r="B8" s="67"/>
      <c r="C8" s="67"/>
      <c r="D8" s="67"/>
      <c r="E8" s="67"/>
      <c r="F8" s="67"/>
      <c r="G8" s="2"/>
      <c r="H8" s="63"/>
      <c r="I8" s="1"/>
      <c r="J8" s="2"/>
      <c r="K8" s="2"/>
      <c r="L8" s="68"/>
      <c r="M8" s="68"/>
      <c r="N8" s="69"/>
    </row>
    <row r="9" spans="1:29" ht="15.75" hidden="1" customHeight="1">
      <c r="A9" s="61"/>
      <c r="B9" s="70"/>
      <c r="C9" s="71"/>
      <c r="D9" s="71"/>
      <c r="E9" s="71"/>
      <c r="F9" s="71"/>
      <c r="G9" s="2"/>
      <c r="H9" s="63"/>
      <c r="I9" s="1"/>
      <c r="J9" s="2"/>
      <c r="K9" s="3"/>
      <c r="L9" s="2"/>
      <c r="M9" s="2"/>
      <c r="N9" s="72"/>
      <c r="S9" s="7">
        <v>1</v>
      </c>
      <c r="T9" s="2">
        <v>0</v>
      </c>
    </row>
    <row r="10" spans="1:29" ht="15.75" customHeight="1">
      <c r="A10" s="66"/>
      <c r="B10" s="71"/>
      <c r="C10" s="111"/>
      <c r="D10" s="71"/>
      <c r="E10" s="71"/>
      <c r="F10" s="71"/>
      <c r="G10" s="71"/>
      <c r="H10" s="60"/>
      <c r="I10" s="119"/>
      <c r="J10" s="60"/>
      <c r="K10" s="120"/>
      <c r="L10" s="35"/>
      <c r="M10" s="35"/>
      <c r="N10" s="73"/>
    </row>
    <row r="11" spans="1:29" ht="15.75" customHeight="1">
      <c r="A11" s="56"/>
      <c r="B11" s="71"/>
      <c r="C11" s="71"/>
      <c r="D11" s="71"/>
      <c r="E11" s="71"/>
      <c r="F11" s="71"/>
      <c r="G11" s="71"/>
      <c r="H11" s="63"/>
      <c r="I11" s="121"/>
      <c r="J11" s="63"/>
      <c r="K11" s="2"/>
      <c r="L11" s="68"/>
      <c r="M11" s="68"/>
      <c r="N11" s="69"/>
    </row>
    <row r="12" spans="1:29" ht="15.75" customHeight="1">
      <c r="A12" s="61"/>
      <c r="B12" s="74"/>
      <c r="C12" s="75"/>
      <c r="D12" s="75"/>
      <c r="E12" s="75"/>
      <c r="F12" s="75"/>
      <c r="G12" s="2"/>
      <c r="H12" s="112"/>
      <c r="I12" s="121"/>
      <c r="J12" s="63"/>
      <c r="K12" s="113"/>
      <c r="L12" s="113"/>
      <c r="M12" s="113"/>
      <c r="N12" s="72"/>
    </row>
    <row r="13" spans="1:29" ht="15.75" customHeight="1">
      <c r="A13" s="66"/>
      <c r="B13" s="74"/>
      <c r="C13" s="75"/>
      <c r="D13" s="75"/>
      <c r="E13" s="75"/>
      <c r="F13" s="75"/>
      <c r="G13" s="2"/>
      <c r="H13" s="63"/>
      <c r="I13" s="121"/>
      <c r="J13" s="2"/>
      <c r="K13" s="2"/>
      <c r="L13" s="2"/>
      <c r="M13" s="2"/>
      <c r="N13" s="72"/>
    </row>
    <row r="14" spans="1:29" ht="15.75" customHeight="1">
      <c r="A14" s="61"/>
      <c r="B14" s="74"/>
      <c r="C14" s="75"/>
      <c r="D14" s="74"/>
      <c r="E14" s="74"/>
      <c r="F14" s="56"/>
      <c r="G14" s="2"/>
      <c r="H14" s="63"/>
      <c r="I14" s="121"/>
      <c r="J14" s="63"/>
      <c r="K14" s="2"/>
      <c r="L14" s="2"/>
      <c r="M14" s="2"/>
      <c r="N14" s="72"/>
    </row>
    <row r="15" spans="1:29" ht="15.75" customHeight="1">
      <c r="A15" s="66"/>
      <c r="B15" s="74"/>
      <c r="C15" s="74"/>
      <c r="D15" s="74"/>
      <c r="E15" s="74"/>
      <c r="F15" s="56"/>
      <c r="G15" s="2"/>
      <c r="H15" s="136"/>
      <c r="I15" s="137"/>
      <c r="J15" s="137"/>
      <c r="K15" s="138"/>
      <c r="L15" s="138"/>
      <c r="M15" s="138"/>
      <c r="N15" s="72"/>
    </row>
    <row r="16" spans="1:29" ht="6.75" customHeight="1">
      <c r="A16" s="1"/>
      <c r="B16" s="2"/>
      <c r="C16" s="2"/>
      <c r="D16" s="2"/>
      <c r="E16" s="2"/>
      <c r="F16" s="2"/>
      <c r="G16" s="2"/>
      <c r="H16" s="2"/>
      <c r="I16" s="1"/>
      <c r="J16" s="2"/>
      <c r="K16" s="3"/>
      <c r="L16" s="2"/>
      <c r="M16" s="2"/>
    </row>
    <row r="17" spans="1:30" ht="23.4">
      <c r="A17" s="76" t="s">
        <v>0</v>
      </c>
      <c r="B17" s="139" t="s">
        <v>1</v>
      </c>
      <c r="C17" s="140"/>
      <c r="D17" s="140"/>
      <c r="E17" s="140"/>
      <c r="F17" s="140"/>
      <c r="G17" s="77" t="s">
        <v>2</v>
      </c>
      <c r="H17" s="76" t="s">
        <v>3</v>
      </c>
      <c r="I17" s="76" t="s">
        <v>74</v>
      </c>
      <c r="J17" s="76" t="s">
        <v>75</v>
      </c>
      <c r="K17" s="76" t="s">
        <v>76</v>
      </c>
      <c r="L17" s="139" t="s">
        <v>4</v>
      </c>
      <c r="M17" s="141"/>
      <c r="N17" s="78"/>
      <c r="P17" s="9">
        <f>MAX(A21:A140)</f>
        <v>30</v>
      </c>
      <c r="Q17" s="10" t="s">
        <v>5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ht="11.25" customHeight="1">
      <c r="A18" s="79" t="s">
        <v>6</v>
      </c>
      <c r="B18" s="142" t="s">
        <v>7</v>
      </c>
      <c r="C18" s="143"/>
      <c r="D18" s="143"/>
      <c r="E18" s="143"/>
      <c r="F18" s="143"/>
      <c r="G18" s="80" t="s">
        <v>8</v>
      </c>
      <c r="H18" s="81"/>
      <c r="I18" s="81" t="s">
        <v>8</v>
      </c>
      <c r="J18" s="81" t="s">
        <v>8</v>
      </c>
      <c r="K18" s="122" t="s">
        <v>9</v>
      </c>
      <c r="L18" s="142" t="s">
        <v>10</v>
      </c>
      <c r="M18" s="144"/>
      <c r="N18" s="82"/>
    </row>
    <row r="19" spans="1:30">
      <c r="A19" s="83"/>
      <c r="B19" s="145"/>
      <c r="C19" s="146"/>
      <c r="D19" s="146"/>
      <c r="E19" s="146"/>
      <c r="F19" s="146"/>
      <c r="G19" s="84"/>
      <c r="H19" s="85"/>
      <c r="I19" s="123"/>
      <c r="J19" s="85"/>
      <c r="K19" s="124"/>
      <c r="L19" s="147"/>
      <c r="M19" s="148"/>
      <c r="N19" s="72"/>
      <c r="R19" s="11" t="s">
        <v>11</v>
      </c>
      <c r="S19" s="12" t="s">
        <v>12</v>
      </c>
      <c r="T19" s="13"/>
      <c r="U19" s="13"/>
      <c r="V19" s="13"/>
      <c r="W19" s="1" t="s">
        <v>13</v>
      </c>
      <c r="X19" s="1" t="s">
        <v>14</v>
      </c>
      <c r="Y19" s="2" t="s">
        <v>15</v>
      </c>
    </row>
    <row r="20" spans="1:30" s="19" customFormat="1" ht="9.75" customHeight="1">
      <c r="A20" s="86"/>
      <c r="B20" s="87"/>
      <c r="C20" s="88"/>
      <c r="D20" s="88"/>
      <c r="E20" s="88"/>
      <c r="F20" s="88"/>
      <c r="G20" s="89"/>
      <c r="H20" s="90"/>
      <c r="I20" s="125"/>
      <c r="J20" s="126"/>
      <c r="K20" s="125"/>
      <c r="L20" s="149"/>
      <c r="M20" s="150"/>
      <c r="N20" s="72"/>
      <c r="O20" s="14"/>
      <c r="P20" s="15"/>
      <c r="Q20" s="3"/>
      <c r="R20" s="16"/>
      <c r="S20" s="17"/>
      <c r="T20" s="2"/>
      <c r="U20" s="18"/>
      <c r="V20" s="18"/>
      <c r="W20" s="18"/>
      <c r="X20" s="3"/>
      <c r="Y20" s="18"/>
      <c r="Z20" s="18"/>
      <c r="AA20" s="18"/>
      <c r="AB20" s="18"/>
      <c r="AC20" s="18"/>
      <c r="AD20" s="18"/>
    </row>
    <row r="21" spans="1:30" ht="15" customHeight="1">
      <c r="A21" s="91">
        <f>IF(W21="","",1)</f>
        <v>1</v>
      </c>
      <c r="B21" s="92" t="str">
        <f>IF(W21="","",VLOOKUP(C22,Data!B:C,2,FALSE))</f>
        <v>PVC123</v>
      </c>
      <c r="C21" s="20"/>
      <c r="D21" s="20"/>
      <c r="E21" s="20"/>
      <c r="F21" s="93"/>
      <c r="G21" s="21">
        <f>IF(W21="","",SUM(S22:S24))</f>
        <v>25000</v>
      </c>
      <c r="H21" s="94" t="str">
        <f>IF(W21="","","M.")</f>
        <v>M.</v>
      </c>
      <c r="I21" s="116" t="str">
        <f>IF(W21="","",VLOOKUP(C22,Data!B:E,4,FALSE))</f>
        <v>DMT121143</v>
      </c>
      <c r="J21" s="127">
        <f>IF(W21="","",VLOOKUP(C22,Data!B:F,5,FALSE))</f>
        <v>24070001</v>
      </c>
      <c r="K21" s="116">
        <f>IFERROR(IF(P22="","",J21*(P22+P23+P24)),"")</f>
        <v>300875012.5</v>
      </c>
      <c r="L21" s="134" t="str">
        <f>IF(W21="","","35.0 x 35.0 x 14.0")</f>
        <v>35.0 x 35.0 x 14.0</v>
      </c>
      <c r="M21" s="135"/>
      <c r="N21" s="95"/>
      <c r="O21" s="22" t="s">
        <v>16</v>
      </c>
      <c r="R21" s="23"/>
      <c r="S21" s="24"/>
      <c r="T21" s="25"/>
      <c r="U21" s="25"/>
      <c r="V21" s="25">
        <v>1</v>
      </c>
      <c r="W21" s="26" t="str">
        <f>VLOOKUP(V21,Data!A:B,2,FALSE)</f>
        <v>TA0009</v>
      </c>
      <c r="X21" s="27" t="str">
        <f>VLOOKUP(V21,Data!A:F,5,FALSE)</f>
        <v>DMT121143</v>
      </c>
      <c r="Y21" s="2">
        <f>G21/2000</f>
        <v>12.5</v>
      </c>
      <c r="Z21" s="28"/>
      <c r="AA21" s="29" t="str">
        <f>"1"&amp;IF(Y21=1,"","-"&amp;AB21)</f>
        <v>1-13</v>
      </c>
      <c r="AB21" s="2">
        <f>ROUNDUP(Y21,0)</f>
        <v>13</v>
      </c>
    </row>
    <row r="22" spans="1:30" ht="15" customHeight="1">
      <c r="A22" s="96"/>
      <c r="B22" s="20" t="str">
        <f>IF(W21="","","PART NO :")</f>
        <v>PART NO :</v>
      </c>
      <c r="C22" s="30" t="str">
        <f>IF(W21="","",W21)</f>
        <v>TA0009</v>
      </c>
      <c r="D22" s="97"/>
      <c r="E22" s="20" t="str">
        <f>IF(C22="","",", "&amp;VLOOKUP(C22,Data!B:D,3,FALSE))</f>
        <v>, 117E 45710</v>
      </c>
      <c r="F22" s="93"/>
      <c r="G22" s="31" t="str">
        <f>IF(W21="","","(2000 M./BOX)")</f>
        <v>(2000 M./BOX)</v>
      </c>
      <c r="H22" s="94"/>
      <c r="I22" s="117"/>
      <c r="K22" s="116"/>
      <c r="L22" s="132" t="str">
        <f>IF(W21="","","C/N   "&amp;AA21)</f>
        <v>C/N   1-13</v>
      </c>
      <c r="M22" s="133"/>
      <c r="N22" s="98"/>
      <c r="O22" s="22" t="s">
        <v>16</v>
      </c>
      <c r="P22" s="32">
        <f>S22/2000</f>
        <v>5</v>
      </c>
      <c r="Q22" s="1" t="s">
        <v>17</v>
      </c>
      <c r="R22" s="33">
        <f>VLOOKUP(V21,Data!A:F,6,FALSE)</f>
        <v>24070001</v>
      </c>
      <c r="S22" s="34">
        <v>10000</v>
      </c>
      <c r="T22" s="2" t="s">
        <v>18</v>
      </c>
      <c r="V22" s="2">
        <v>1.1000000000000001</v>
      </c>
      <c r="W22" s="26" t="str">
        <f>VLOOKUP(V22,Data!A:B,2,FALSE)</f>
        <v>TA2795</v>
      </c>
      <c r="X22" s="36"/>
      <c r="Y22" s="18"/>
    </row>
    <row r="23" spans="1:30" ht="15" customHeight="1">
      <c r="A23" s="96"/>
      <c r="B23" s="20" t="str">
        <f>IF(W21="","","LOT NO:")</f>
        <v>LOT NO:</v>
      </c>
      <c r="C23" s="99" t="str">
        <f>IF(W21="","",R22&amp;IF(R23="","",","&amp;R23&amp;IF(R24="","",","&amp;R24)))</f>
        <v>24070001,24070001,24070032</v>
      </c>
      <c r="D23" s="20"/>
      <c r="E23" s="20"/>
      <c r="F23" s="93"/>
      <c r="G23" s="37"/>
      <c r="H23" s="94"/>
      <c r="I23" s="117"/>
      <c r="K23" s="128"/>
      <c r="L23" s="38" t="str">
        <f>A21&amp;"{1"&amp;C22&amp;"{2"&amp;G21&amp;"{3"&amp;R22&amp;"{4"&amp;S22&amp;"{5"&amp;R23&amp;"{6"&amp;S23&amp;"{7"&amp;R24&amp;"{8"&amp;S24</f>
        <v>1{1TA0009{225000{324070001{410000{524070001{610000{724070032{85000</v>
      </c>
      <c r="M23" s="100"/>
      <c r="O23" s="22" t="s">
        <v>16</v>
      </c>
      <c r="P23" s="32">
        <f>S23/2000</f>
        <v>5</v>
      </c>
      <c r="Q23" s="1" t="s">
        <v>17</v>
      </c>
      <c r="R23" s="39">
        <v>24070001</v>
      </c>
      <c r="S23" s="40">
        <v>10000</v>
      </c>
      <c r="T23" s="2" t="s">
        <v>18</v>
      </c>
      <c r="V23" s="2">
        <v>1.2</v>
      </c>
      <c r="W23" s="26" t="str">
        <f>VLOOKUP(V23,Data!A:B,2,FALSE)</f>
        <v>TA2796</v>
      </c>
      <c r="X23" s="36"/>
    </row>
    <row r="24" spans="1:30" ht="15" customHeight="1">
      <c r="A24" s="101"/>
      <c r="B24" s="102" t="str">
        <f>IF(W21="","","PO.NO.")</f>
        <v>PO.NO.</v>
      </c>
      <c r="C24" s="103" t="str">
        <f>IF(W21="","",X21)</f>
        <v>DMT121143</v>
      </c>
      <c r="D24" s="104" t="str">
        <f>IF(W21="","","(Cable from Bando Lao)")</f>
        <v>(Cable from Bando Lao)</v>
      </c>
      <c r="E24" s="104"/>
      <c r="F24" s="105"/>
      <c r="G24" s="41"/>
      <c r="H24" s="106"/>
      <c r="I24" s="106"/>
      <c r="J24" s="129"/>
      <c r="K24" s="130"/>
      <c r="L24" s="107"/>
      <c r="M24" s="108"/>
      <c r="O24" s="22"/>
      <c r="P24" s="32">
        <f>S24/2000</f>
        <v>2.5</v>
      </c>
      <c r="Q24" s="1" t="s">
        <v>17</v>
      </c>
      <c r="R24" s="39">
        <f>VLOOKUP(V23,Data!A:F,6,FALSE)</f>
        <v>24070032</v>
      </c>
      <c r="S24" s="40">
        <v>5000</v>
      </c>
      <c r="T24" s="42" t="s">
        <v>18</v>
      </c>
      <c r="U24" s="42"/>
      <c r="V24" s="42"/>
      <c r="W24" s="43"/>
      <c r="X24" s="44"/>
    </row>
    <row r="25" spans="1:30" ht="15" customHeight="1">
      <c r="A25" s="91">
        <f>IF(W25="","",2)</f>
        <v>2</v>
      </c>
      <c r="B25" s="92" t="str">
        <f>IF(W25="","",VLOOKUP(C26,Data!B:C,2,FALSE))</f>
        <v>PVC124</v>
      </c>
      <c r="C25" s="109"/>
      <c r="D25" s="20"/>
      <c r="E25" s="20"/>
      <c r="F25" s="93"/>
      <c r="G25" s="21">
        <f>IF(W25="","",SUM(S26:S28))</f>
        <v>20000</v>
      </c>
      <c r="H25" s="94" t="str">
        <f>IF(W25="","","M.")</f>
        <v>M.</v>
      </c>
      <c r="I25" s="116" t="str">
        <f>IF(W25="","",VLOOKUP(C26,Data!B:E,4,FALSE))</f>
        <v>DMT121144</v>
      </c>
      <c r="J25" s="127">
        <f>IF(W25="","",VLOOKUP(C26,Data!B:F,5,FALSE))</f>
        <v>24070002</v>
      </c>
      <c r="K25" s="116">
        <f>IFERROR(IF(P26="","",J25*(P26+P27+P28)),"")</f>
        <v>240700020</v>
      </c>
      <c r="L25" s="134" t="str">
        <f>IF(W25="","","35.0 x 35.0 x 14.0")</f>
        <v>35.0 x 35.0 x 14.0</v>
      </c>
      <c r="M25" s="135"/>
      <c r="N25" s="95"/>
      <c r="O25" s="22" t="s">
        <v>16</v>
      </c>
      <c r="R25" s="23"/>
      <c r="S25" s="24"/>
      <c r="T25" s="25"/>
      <c r="U25" s="25"/>
      <c r="V25" s="25">
        <v>2</v>
      </c>
      <c r="W25" s="26" t="str">
        <f>VLOOKUP(V25,Data!A:B,2,FALSE)</f>
        <v>TA0010</v>
      </c>
      <c r="X25" s="27" t="str">
        <f>VLOOKUP(V25,Data!A:F,5,FALSE)</f>
        <v>DMT121144</v>
      </c>
      <c r="Y25" s="2">
        <f>G25/2000</f>
        <v>10</v>
      </c>
      <c r="AA25" s="45" t="str">
        <f>AB21+1&amp;IF(Y25=1,"","-"&amp;AB25)</f>
        <v>14-23</v>
      </c>
      <c r="AB25" s="2">
        <f>ROUNDUP(SUM($Y$21:Y25),0)</f>
        <v>23</v>
      </c>
    </row>
    <row r="26" spans="1:30" ht="15" customHeight="1">
      <c r="A26" s="96"/>
      <c r="B26" s="20" t="str">
        <f>IF(W25="","","PART NO :")</f>
        <v>PART NO :</v>
      </c>
      <c r="C26" s="30" t="str">
        <f>IF(W25="","",W25)</f>
        <v>TA0010</v>
      </c>
      <c r="D26" s="97"/>
      <c r="E26" s="20" t="str">
        <f>IF(C26="","",", "&amp;VLOOKUP(C26,Data!B:D,3,FALSE))</f>
        <v>, 117K 50750</v>
      </c>
      <c r="F26" s="93"/>
      <c r="G26" s="31" t="str">
        <f>IF(W25="","","(2000 M./BOX)")</f>
        <v>(2000 M./BOX)</v>
      </c>
      <c r="H26" s="94"/>
      <c r="I26" s="117"/>
      <c r="K26" s="116"/>
      <c r="L26" s="132" t="str">
        <f>IF(W25="","","C/N   "&amp;AA25)</f>
        <v>C/N   14-23</v>
      </c>
      <c r="M26" s="133"/>
      <c r="N26" s="98"/>
      <c r="O26" s="22" t="s">
        <v>16</v>
      </c>
      <c r="P26" s="32">
        <f>S26/2000</f>
        <v>10</v>
      </c>
      <c r="Q26" s="1" t="s">
        <v>17</v>
      </c>
      <c r="R26" s="33">
        <f>VLOOKUP(V25,Data!A:F,6,FALSE)</f>
        <v>24070002</v>
      </c>
      <c r="S26" s="34">
        <v>20000</v>
      </c>
      <c r="T26" s="2" t="s">
        <v>18</v>
      </c>
      <c r="V26" s="2">
        <v>2.2000000000000002</v>
      </c>
      <c r="X26" s="46"/>
      <c r="Y26" s="18"/>
    </row>
    <row r="27" spans="1:30" ht="15" customHeight="1">
      <c r="A27" s="96"/>
      <c r="B27" s="20" t="str">
        <f>IF(W25="","","LOT NO:")</f>
        <v>LOT NO:</v>
      </c>
      <c r="C27" s="99" t="str">
        <f>IF(W25="","",R26&amp;IF(R27="","",","&amp;R27&amp;IF(R28="","",","&amp;R28)))</f>
        <v>24070002</v>
      </c>
      <c r="D27" s="20"/>
      <c r="E27" s="20"/>
      <c r="F27" s="93"/>
      <c r="G27" s="37"/>
      <c r="H27" s="94"/>
      <c r="I27" s="117"/>
      <c r="K27" s="128"/>
      <c r="L27" s="38" t="str">
        <f>A25&amp;"{1"&amp;C26&amp;"{2"&amp;G25&amp;"{3"&amp;R26&amp;"{4"&amp;S26&amp;"{5"&amp;R27&amp;"{6"&amp;S27&amp;"{7"&amp;R28&amp;"{8"&amp;S28</f>
        <v>2{1TA0010{220000{324070002{420000{5{6{7{8</v>
      </c>
      <c r="M27" s="100"/>
      <c r="O27" s="22" t="s">
        <v>16</v>
      </c>
      <c r="P27" s="32">
        <f>S27/2000</f>
        <v>0</v>
      </c>
      <c r="Q27" s="1" t="s">
        <v>17</v>
      </c>
      <c r="R27" s="39"/>
      <c r="S27" s="40"/>
      <c r="T27" s="2" t="s">
        <v>18</v>
      </c>
      <c r="V27" s="2">
        <v>2.2999999999999998</v>
      </c>
      <c r="X27" s="46"/>
    </row>
    <row r="28" spans="1:30" ht="15" customHeight="1">
      <c r="A28" s="101"/>
      <c r="B28" s="102" t="str">
        <f>IF(W25="","","PO.NO.")</f>
        <v>PO.NO.</v>
      </c>
      <c r="C28" s="103" t="str">
        <f>IF(W25="","",X25)</f>
        <v>DMT121144</v>
      </c>
      <c r="D28" s="104" t="str">
        <f>IF(W25="","","(Cable from Bando Lao)")</f>
        <v>(Cable from Bando Lao)</v>
      </c>
      <c r="E28" s="104"/>
      <c r="F28" s="105"/>
      <c r="G28" s="41"/>
      <c r="H28" s="106"/>
      <c r="I28" s="106"/>
      <c r="J28" s="129"/>
      <c r="K28" s="130"/>
      <c r="L28" s="107"/>
      <c r="M28" s="108"/>
      <c r="O28" s="22"/>
      <c r="P28" s="32">
        <f>S28/2000</f>
        <v>0</v>
      </c>
      <c r="Q28" s="1" t="s">
        <v>17</v>
      </c>
      <c r="R28" s="39"/>
      <c r="S28" s="40"/>
      <c r="T28" s="42" t="s">
        <v>18</v>
      </c>
      <c r="U28" s="42"/>
      <c r="V28" s="42"/>
      <c r="W28" s="42"/>
      <c r="X28" s="47"/>
    </row>
    <row r="29" spans="1:30" ht="15" customHeight="1">
      <c r="A29" s="91">
        <f>IF(W29="","",A25+1)</f>
        <v>3</v>
      </c>
      <c r="B29" s="92" t="str">
        <f>IF(W29="","",VLOOKUP(C30,Data!B:C,2,FALSE))</f>
        <v>PVC125</v>
      </c>
      <c r="C29" s="109"/>
      <c r="D29" s="20"/>
      <c r="E29" s="20"/>
      <c r="F29" s="93"/>
      <c r="G29" s="21">
        <f>IF(W29="","",SUM(S30:S32))</f>
        <v>30000</v>
      </c>
      <c r="H29" s="94" t="str">
        <f>IF(W29="","","M.")</f>
        <v>M.</v>
      </c>
      <c r="I29" s="116" t="str">
        <f>IF(W29="","",VLOOKUP(C30,Data!B:E,4,FALSE))</f>
        <v>DMT121145</v>
      </c>
      <c r="J29" s="127">
        <f>IF(W29="","",VLOOKUP(C30,Data!B:F,5,FALSE))</f>
        <v>24070003</v>
      </c>
      <c r="K29" s="116">
        <f>IFERROR(IF(P30="","",J29*(P30+P31+P32)),"")</f>
        <v>361050045</v>
      </c>
      <c r="L29" s="134" t="str">
        <f>IF(W29="","","35.0 x 35.0 x 14.0")</f>
        <v>35.0 x 35.0 x 14.0</v>
      </c>
      <c r="M29" s="135"/>
      <c r="N29" s="95"/>
      <c r="O29" s="22" t="s">
        <v>16</v>
      </c>
      <c r="R29" s="23"/>
      <c r="S29" s="24"/>
      <c r="T29" s="25"/>
      <c r="U29" s="25"/>
      <c r="V29" s="25">
        <f>V25+1</f>
        <v>3</v>
      </c>
      <c r="W29" s="48" t="str">
        <f>VLOOKUP(V29,Data!A:B,2,FALSE)</f>
        <v>TA0013</v>
      </c>
      <c r="X29" s="27" t="str">
        <f>VLOOKUP(V29,Data!A:F,5,FALSE)</f>
        <v>DMT121145</v>
      </c>
      <c r="Y29" s="2">
        <f>G29/2000</f>
        <v>15</v>
      </c>
      <c r="AA29" s="45" t="str">
        <f>AB25+1&amp;IF(Y29=1,"","-"&amp;AB29)</f>
        <v>24-38</v>
      </c>
      <c r="AB29" s="2">
        <f>ROUNDUP(SUM($Y$21:Y29),0)</f>
        <v>38</v>
      </c>
    </row>
    <row r="30" spans="1:30" ht="15" customHeight="1">
      <c r="A30" s="96"/>
      <c r="B30" s="20" t="str">
        <f>IF(W29="","","PART NO :")</f>
        <v>PART NO :</v>
      </c>
      <c r="C30" s="30" t="str">
        <f>IF(W29="","",W29)</f>
        <v>TA0013</v>
      </c>
      <c r="D30" s="97"/>
      <c r="E30" s="20" t="str">
        <f>IF(C30="","",", "&amp;VLOOKUP(C30,Data!B:D,3,FALSE))</f>
        <v>, 117E 47210</v>
      </c>
      <c r="F30" s="93"/>
      <c r="G30" s="31" t="str">
        <f>IF(W29="","","(2000 M./BOX)")</f>
        <v>(2000 M./BOX)</v>
      </c>
      <c r="H30" s="94"/>
      <c r="I30" s="117"/>
      <c r="K30" s="116"/>
      <c r="L30" s="132" t="str">
        <f>IF(W29="","","C/N   "&amp;AA29)</f>
        <v>C/N   24-38</v>
      </c>
      <c r="M30" s="133"/>
      <c r="N30" s="98"/>
      <c r="O30" s="22" t="s">
        <v>16</v>
      </c>
      <c r="P30" s="32">
        <f>S30/2000</f>
        <v>15</v>
      </c>
      <c r="Q30" s="1" t="s">
        <v>17</v>
      </c>
      <c r="R30" s="33">
        <f>VLOOKUP(V29,Data!A:F,6,FALSE)</f>
        <v>24070003</v>
      </c>
      <c r="S30" s="34">
        <v>30000</v>
      </c>
      <c r="T30" s="2" t="s">
        <v>18</v>
      </c>
      <c r="X30" s="46"/>
      <c r="Y30" s="18"/>
    </row>
    <row r="31" spans="1:30" ht="15" customHeight="1">
      <c r="A31" s="96"/>
      <c r="B31" s="20" t="str">
        <f>IF(W29="","","LOT NO:")</f>
        <v>LOT NO:</v>
      </c>
      <c r="C31" s="99" t="str">
        <f>IF(W29="","",R30&amp;IF(R31="","",","&amp;R31&amp;IF(R32="","",","&amp;R32)))</f>
        <v>24070003</v>
      </c>
      <c r="D31" s="20"/>
      <c r="E31" s="20"/>
      <c r="F31" s="93"/>
      <c r="G31" s="37"/>
      <c r="H31" s="94"/>
      <c r="I31" s="117"/>
      <c r="K31" s="128"/>
      <c r="L31" s="38" t="str">
        <f>A29&amp;"{1"&amp;C30&amp;"{2"&amp;G29&amp;"{3"&amp;R30&amp;"{4"&amp;S30&amp;"{5"&amp;R31&amp;"{6"&amp;S31&amp;"{7"&amp;R32&amp;"{8"&amp;S32</f>
        <v>3{1TA0013{230000{324070003{430000{5{6{7{8</v>
      </c>
      <c r="M31" s="100"/>
      <c r="O31" s="22" t="s">
        <v>16</v>
      </c>
      <c r="P31" s="32">
        <f>S31/2000</f>
        <v>0</v>
      </c>
      <c r="Q31" s="1" t="s">
        <v>17</v>
      </c>
      <c r="R31" s="39"/>
      <c r="S31" s="40"/>
      <c r="T31" s="2" t="s">
        <v>18</v>
      </c>
      <c r="X31" s="46"/>
    </row>
    <row r="32" spans="1:30" ht="15" customHeight="1">
      <c r="A32" s="101"/>
      <c r="B32" s="102" t="str">
        <f>IF(W29="","","PO.NO.")</f>
        <v>PO.NO.</v>
      </c>
      <c r="C32" s="103" t="str">
        <f>IF(W29="","",X29)</f>
        <v>DMT121145</v>
      </c>
      <c r="D32" s="104" t="str">
        <f>IF(W29="","","(Cable from Bando Lao)")</f>
        <v>(Cable from Bando Lao)</v>
      </c>
      <c r="E32" s="104"/>
      <c r="F32" s="105"/>
      <c r="G32" s="41"/>
      <c r="H32" s="106"/>
      <c r="I32" s="106"/>
      <c r="J32" s="129"/>
      <c r="K32" s="130"/>
      <c r="L32" s="107"/>
      <c r="M32" s="108"/>
      <c r="O32" s="22"/>
      <c r="P32" s="32">
        <f>S32/2000</f>
        <v>0</v>
      </c>
      <c r="Q32" s="1" t="s">
        <v>17</v>
      </c>
      <c r="R32" s="39"/>
      <c r="S32" s="40"/>
      <c r="T32" s="42" t="s">
        <v>18</v>
      </c>
      <c r="U32" s="42"/>
      <c r="V32" s="42"/>
      <c r="W32" s="42"/>
      <c r="X32" s="47"/>
    </row>
    <row r="33" spans="1:28" ht="15" customHeight="1">
      <c r="A33" s="91">
        <f>IF(W33="","",A29+1)</f>
        <v>4</v>
      </c>
      <c r="B33" s="92" t="str">
        <f>IF(W33="","",VLOOKUP(C34,Data!B:C,2,FALSE))</f>
        <v>PVC126</v>
      </c>
      <c r="C33" s="109"/>
      <c r="D33" s="20"/>
      <c r="E33" s="20"/>
      <c r="F33" s="93"/>
      <c r="G33" s="21">
        <f>IF(W33="","",SUM(S34:S36))</f>
        <v>500</v>
      </c>
      <c r="H33" s="94" t="str">
        <f>IF(W33="","","M.")</f>
        <v>M.</v>
      </c>
      <c r="I33" s="116" t="str">
        <f>IF(W33="","",VLOOKUP(C34,Data!B:E,4,FALSE))</f>
        <v>DMT121146</v>
      </c>
      <c r="J33" s="127">
        <f>IF(W33="","",VLOOKUP(C34,Data!B:F,5,FALSE))</f>
        <v>24070004</v>
      </c>
      <c r="K33" s="116">
        <f>IFERROR(IF(P34="","",J33*(P34+P35+P36)),"")</f>
        <v>6017501</v>
      </c>
      <c r="L33" s="134" t="str">
        <f>IF(W33="","","35.0 x 35.0 x 14.0")</f>
        <v>35.0 x 35.0 x 14.0</v>
      </c>
      <c r="M33" s="135"/>
      <c r="N33" s="95"/>
      <c r="O33" s="22" t="s">
        <v>16</v>
      </c>
      <c r="R33" s="23"/>
      <c r="S33" s="24"/>
      <c r="T33" s="25"/>
      <c r="U33" s="25"/>
      <c r="V33" s="25">
        <f>V29+1</f>
        <v>4</v>
      </c>
      <c r="W33" s="48" t="str">
        <f>VLOOKUP(V33,Data!A:B,2,FALSE)</f>
        <v>TA0372-C</v>
      </c>
      <c r="X33" s="27" t="str">
        <f>VLOOKUP(V33,Data!A:F,5,FALSE)</f>
        <v>DMT121146</v>
      </c>
      <c r="Y33" s="2">
        <f>G33/2000</f>
        <v>0.25</v>
      </c>
      <c r="AA33" s="45" t="str">
        <f>AB29+1&amp;IF(Y33=1,"","-"&amp;AB33)</f>
        <v>39-38</v>
      </c>
      <c r="AB33" s="2">
        <f>ROUNDUP(SUM($Y$21:Y33),0)</f>
        <v>38</v>
      </c>
    </row>
    <row r="34" spans="1:28" ht="15" customHeight="1">
      <c r="A34" s="96"/>
      <c r="B34" s="20" t="str">
        <f>IF(W33="","","PART NO :")</f>
        <v>PART NO :</v>
      </c>
      <c r="C34" s="30" t="str">
        <f>IF(W33="","",W33)</f>
        <v>TA0372-C</v>
      </c>
      <c r="D34" s="97"/>
      <c r="E34" s="20" t="str">
        <f>IF(C34="","",", "&amp;VLOOKUP(C34,Data!B:D,3,FALSE))</f>
        <v>, PM060HH45</v>
      </c>
      <c r="F34" s="93"/>
      <c r="G34" s="31" t="str">
        <f>IF(W33="","","(2000 M./BOX)")</f>
        <v>(2000 M./BOX)</v>
      </c>
      <c r="H34" s="94"/>
      <c r="I34" s="117"/>
      <c r="K34" s="116"/>
      <c r="L34" s="132" t="str">
        <f>IF(W33="","","C/N   "&amp;AA33)</f>
        <v>C/N   39-38</v>
      </c>
      <c r="M34" s="133"/>
      <c r="N34" s="98"/>
      <c r="O34" s="22" t="s">
        <v>16</v>
      </c>
      <c r="P34" s="32">
        <f>S34/2000</f>
        <v>0.25</v>
      </c>
      <c r="Q34" s="1" t="s">
        <v>17</v>
      </c>
      <c r="R34" s="33">
        <f>VLOOKUP(V33,Data!A:F,6,FALSE)</f>
        <v>24070004</v>
      </c>
      <c r="S34" s="34">
        <v>500</v>
      </c>
      <c r="T34" s="2" t="s">
        <v>18</v>
      </c>
      <c r="X34" s="46"/>
      <c r="Y34" s="18"/>
    </row>
    <row r="35" spans="1:28" ht="15" customHeight="1">
      <c r="A35" s="96"/>
      <c r="B35" s="20" t="str">
        <f>IF(W33="","","LOT NO:")</f>
        <v>LOT NO:</v>
      </c>
      <c r="C35" s="99" t="str">
        <f>IF(W33="","",R34&amp;IF(R35="","",","&amp;R35&amp;IF(R36="","",","&amp;R36)))</f>
        <v>24070004</v>
      </c>
      <c r="D35" s="20"/>
      <c r="E35" s="20"/>
      <c r="F35" s="93"/>
      <c r="G35" s="37"/>
      <c r="H35" s="94"/>
      <c r="I35" s="117"/>
      <c r="K35" s="128"/>
      <c r="L35" s="38" t="str">
        <f>A33&amp;"{1"&amp;C34&amp;"{2"&amp;G33&amp;"{3"&amp;R34&amp;"{4"&amp;S34&amp;"{5"&amp;R35&amp;"{6"&amp;S35&amp;"{7"&amp;R36&amp;"{8"&amp;S36</f>
        <v>4{1TA0372-C{2500{324070004{4500{5{6{7{8</v>
      </c>
      <c r="M35" s="100"/>
      <c r="O35" s="22" t="s">
        <v>16</v>
      </c>
      <c r="P35" s="32">
        <f>S35/2000</f>
        <v>0</v>
      </c>
      <c r="Q35" s="1" t="s">
        <v>17</v>
      </c>
      <c r="R35" s="39"/>
      <c r="S35" s="40"/>
      <c r="T35" s="2" t="s">
        <v>18</v>
      </c>
      <c r="X35" s="46"/>
    </row>
    <row r="36" spans="1:28" ht="15" customHeight="1">
      <c r="A36" s="101"/>
      <c r="B36" s="102" t="str">
        <f>IF(W33="","","PO.NO.")</f>
        <v>PO.NO.</v>
      </c>
      <c r="C36" s="103" t="str">
        <f>IF(W33="","",X33)</f>
        <v>DMT121146</v>
      </c>
      <c r="D36" s="104" t="str">
        <f>IF(W33="","","(Cable from Bando Lao)")</f>
        <v>(Cable from Bando Lao)</v>
      </c>
      <c r="E36" s="104"/>
      <c r="F36" s="105"/>
      <c r="G36" s="41"/>
      <c r="H36" s="106"/>
      <c r="I36" s="106"/>
      <c r="J36" s="129"/>
      <c r="K36" s="130"/>
      <c r="L36" s="107"/>
      <c r="M36" s="108"/>
      <c r="O36" s="22"/>
      <c r="P36" s="32">
        <f>S36/2000</f>
        <v>0</v>
      </c>
      <c r="Q36" s="1" t="s">
        <v>17</v>
      </c>
      <c r="R36" s="39"/>
      <c r="S36" s="40"/>
      <c r="T36" s="42" t="s">
        <v>18</v>
      </c>
      <c r="U36" s="42"/>
      <c r="V36" s="42"/>
      <c r="W36" s="42"/>
      <c r="X36" s="47"/>
    </row>
    <row r="37" spans="1:28" ht="15" customHeight="1">
      <c r="A37" s="91">
        <f>IF(W37="","",A33+1)</f>
        <v>5</v>
      </c>
      <c r="B37" s="92" t="str">
        <f>IF(W37="","",VLOOKUP(C38,Data!B:C,2,FALSE))</f>
        <v>PVC127</v>
      </c>
      <c r="C37" s="109"/>
      <c r="D37" s="20"/>
      <c r="E37" s="20"/>
      <c r="F37" s="93"/>
      <c r="G37" s="21">
        <f>IF(W37="","",SUM(S38:S40))</f>
        <v>5000</v>
      </c>
      <c r="H37" s="94" t="str">
        <f>IF(W37="","","M.")</f>
        <v>M.</v>
      </c>
      <c r="I37" s="116" t="str">
        <f>IF(W37="","",VLOOKUP(C38,Data!B:E,4,FALSE))</f>
        <v>DMT121147</v>
      </c>
      <c r="J37" s="127">
        <f>IF(W37="","",VLOOKUP(C38,Data!B:F,5,FALSE))</f>
        <v>24070005</v>
      </c>
      <c r="K37" s="116">
        <f>IFERROR(IF(P38="","",J37*(P38+P39+P40)),"")</f>
        <v>60175012.5</v>
      </c>
      <c r="L37" s="134" t="str">
        <f>IF(W37="","","35.0 x 35.0 x 14.0")</f>
        <v>35.0 x 35.0 x 14.0</v>
      </c>
      <c r="M37" s="135"/>
      <c r="N37" s="95"/>
      <c r="O37" s="22" t="s">
        <v>16</v>
      </c>
      <c r="R37" s="23"/>
      <c r="S37" s="24"/>
      <c r="T37" s="25"/>
      <c r="U37" s="25"/>
      <c r="V37" s="25">
        <f>V33+1</f>
        <v>5</v>
      </c>
      <c r="W37" s="48" t="str">
        <f>VLOOKUP(V37,Data!A:B,2,FALSE)</f>
        <v>TA0437</v>
      </c>
      <c r="X37" s="27" t="str">
        <f>VLOOKUP(V37,Data!A:F,5,FALSE)</f>
        <v>DMT121147</v>
      </c>
      <c r="Y37" s="2">
        <f>G37/2000</f>
        <v>2.5</v>
      </c>
      <c r="AA37" s="45" t="str">
        <f>AB33+1&amp;IF(Y33=1,"","-"&amp;AB37)</f>
        <v>39-41</v>
      </c>
      <c r="AB37" s="2">
        <f>ROUNDUP(SUM($Y$21:Y37),0)</f>
        <v>41</v>
      </c>
    </row>
    <row r="38" spans="1:28" ht="15" customHeight="1">
      <c r="A38" s="96"/>
      <c r="B38" s="20" t="str">
        <f>IF(W37="","","PART NO :")</f>
        <v>PART NO :</v>
      </c>
      <c r="C38" s="30" t="str">
        <f>IF(W37="","",W37)</f>
        <v>TA0437</v>
      </c>
      <c r="D38" s="97"/>
      <c r="E38" s="20" t="str">
        <f>IF(C38="","",", "&amp;VLOOKUP(C38,Data!B:D,3,FALSE))</f>
        <v>, PM060HH47</v>
      </c>
      <c r="F38" s="93"/>
      <c r="G38" s="31" t="str">
        <f>IF(W37="","","(2000 M./BOX)")</f>
        <v>(2000 M./BOX)</v>
      </c>
      <c r="H38" s="94"/>
      <c r="I38" s="117"/>
      <c r="K38" s="116"/>
      <c r="L38" s="132" t="str">
        <f>IF(W37="","","C/N   "&amp;AA37)</f>
        <v>C/N   39-41</v>
      </c>
      <c r="M38" s="133"/>
      <c r="N38" s="98"/>
      <c r="O38" s="22" t="s">
        <v>16</v>
      </c>
      <c r="P38" s="32">
        <f>S38/2000</f>
        <v>2.5</v>
      </c>
      <c r="Q38" s="1" t="s">
        <v>17</v>
      </c>
      <c r="R38" s="33">
        <f>VLOOKUP(V37,Data!A:F,6,FALSE)</f>
        <v>24070005</v>
      </c>
      <c r="S38" s="34">
        <v>5000</v>
      </c>
      <c r="T38" s="2" t="s">
        <v>18</v>
      </c>
      <c r="X38" s="46"/>
      <c r="Y38" s="18"/>
    </row>
    <row r="39" spans="1:28" ht="15" customHeight="1">
      <c r="A39" s="96"/>
      <c r="B39" s="20" t="str">
        <f>IF(W37="","","LOT NO:")</f>
        <v>LOT NO:</v>
      </c>
      <c r="C39" s="99" t="str">
        <f>IF(W37="","",R38&amp;IF(R39="","",","&amp;R39&amp;IF(R40="","",","&amp;R40)))</f>
        <v>24070005</v>
      </c>
      <c r="D39" s="20"/>
      <c r="E39" s="20"/>
      <c r="F39" s="93"/>
      <c r="G39" s="37"/>
      <c r="H39" s="94"/>
      <c r="I39" s="117"/>
      <c r="K39" s="128"/>
      <c r="L39" s="38" t="str">
        <f>A37&amp;"{1"&amp;C38&amp;"{2"&amp;G37&amp;"{3"&amp;R38&amp;"{4"&amp;S38&amp;"{5"&amp;R39&amp;"{6"&amp;S39&amp;"{7"&amp;R40&amp;"{8"&amp;S40</f>
        <v>5{1TA0437{25000{324070005{45000{5{6{7{8</v>
      </c>
      <c r="M39" s="100"/>
      <c r="O39" s="22" t="s">
        <v>16</v>
      </c>
      <c r="P39" s="32">
        <f>S39/2000</f>
        <v>0</v>
      </c>
      <c r="Q39" s="1" t="s">
        <v>17</v>
      </c>
      <c r="R39" s="33"/>
      <c r="S39" s="40"/>
      <c r="T39" s="2" t="s">
        <v>18</v>
      </c>
      <c r="X39" s="46"/>
    </row>
    <row r="40" spans="1:28" ht="15" customHeight="1">
      <c r="A40" s="101"/>
      <c r="B40" s="102" t="str">
        <f>IF(W37="","","PO.NO.")</f>
        <v>PO.NO.</v>
      </c>
      <c r="C40" s="103" t="str">
        <f>IF(W37="","",X37)</f>
        <v>DMT121147</v>
      </c>
      <c r="D40" s="104" t="str">
        <f>IF(W37="","","(Cable from Bando Lao)")</f>
        <v>(Cable from Bando Lao)</v>
      </c>
      <c r="E40" s="104"/>
      <c r="F40" s="105"/>
      <c r="G40" s="41"/>
      <c r="H40" s="106"/>
      <c r="I40" s="106"/>
      <c r="J40" s="129"/>
      <c r="K40" s="130"/>
      <c r="L40" s="107"/>
      <c r="M40" s="108"/>
      <c r="O40" s="22"/>
      <c r="P40" s="32">
        <f>S40/2000</f>
        <v>0</v>
      </c>
      <c r="Q40" s="1" t="s">
        <v>17</v>
      </c>
      <c r="R40" s="39"/>
      <c r="S40" s="40"/>
      <c r="T40" s="42" t="s">
        <v>18</v>
      </c>
      <c r="U40" s="42"/>
      <c r="V40" s="42"/>
      <c r="W40" s="42"/>
      <c r="X40" s="47"/>
    </row>
    <row r="41" spans="1:28" ht="15" customHeight="1">
      <c r="A41" s="91">
        <f>IF(W41="","",A37+1)</f>
        <v>6</v>
      </c>
      <c r="B41" s="92" t="str">
        <f>IF(W41="","",VLOOKUP(C42,Data!B:C,2,FALSE))</f>
        <v>PVC128</v>
      </c>
      <c r="C41" s="109"/>
      <c r="D41" s="20"/>
      <c r="E41" s="20"/>
      <c r="F41" s="93"/>
      <c r="G41" s="21">
        <f>IF(W41="","",SUM(S42:S44))</f>
        <v>10000</v>
      </c>
      <c r="H41" s="94" t="str">
        <f>IF(W41="","","M.")</f>
        <v>M.</v>
      </c>
      <c r="I41" s="116" t="str">
        <f>IF(W41="","",VLOOKUP(C42,Data!B:E,4,FALSE))</f>
        <v>DMT121148</v>
      </c>
      <c r="J41" s="127">
        <f>IF(W41="","",VLOOKUP(C42,Data!B:F,5,FALSE))</f>
        <v>24070006</v>
      </c>
      <c r="K41" s="116">
        <f>IFERROR(IF(P42="","",J41*(P42+P43+P44)),"")</f>
        <v>120350030</v>
      </c>
      <c r="L41" s="134" t="str">
        <f>IF(W41="","","35.0 x 35.0 x 14.0")</f>
        <v>35.0 x 35.0 x 14.0</v>
      </c>
      <c r="M41" s="135"/>
      <c r="N41" s="95"/>
      <c r="O41" s="22" t="s">
        <v>16</v>
      </c>
      <c r="R41" s="23"/>
      <c r="S41" s="24"/>
      <c r="T41" s="25"/>
      <c r="U41" s="25"/>
      <c r="V41" s="25">
        <f>V37+1</f>
        <v>6</v>
      </c>
      <c r="W41" s="48" t="str">
        <f>VLOOKUP(V41,Data!A:B,2,FALSE)</f>
        <v>TA0464-C</v>
      </c>
      <c r="X41" s="27" t="str">
        <f>VLOOKUP(V41,Data!A:F,5,FALSE)</f>
        <v>DMT121148</v>
      </c>
      <c r="Y41" s="2">
        <f>G41/2000</f>
        <v>5</v>
      </c>
      <c r="AA41" s="45" t="str">
        <f>AB37+1&amp;IF(Y41=1,"","-"&amp;AB41)</f>
        <v>42-46</v>
      </c>
      <c r="AB41" s="2">
        <f>ROUNDUP(SUM($Y$21:Y41),0)</f>
        <v>46</v>
      </c>
    </row>
    <row r="42" spans="1:28" ht="15" customHeight="1">
      <c r="A42" s="96"/>
      <c r="B42" s="20" t="str">
        <f>IF(W41="","","PART NO :")</f>
        <v>PART NO :</v>
      </c>
      <c r="C42" s="30" t="str">
        <f>IF(W41="","",W41)</f>
        <v>TA0464-C</v>
      </c>
      <c r="D42" s="97"/>
      <c r="E42" s="20" t="str">
        <f>IF(C42="","",", "&amp;VLOOKUP(C42,Data!B:D,3,FALSE))</f>
        <v>, PM060HH48</v>
      </c>
      <c r="F42" s="93"/>
      <c r="G42" s="31" t="str">
        <f>IF(W41="","","(2000 M./BOX)")</f>
        <v>(2000 M./BOX)</v>
      </c>
      <c r="H42" s="94"/>
      <c r="I42" s="117"/>
      <c r="K42" s="116"/>
      <c r="L42" s="132" t="str">
        <f>IF(W41="","","C/N   "&amp;AA41)</f>
        <v>C/N   42-46</v>
      </c>
      <c r="M42" s="133"/>
      <c r="N42" s="98"/>
      <c r="O42" s="22" t="s">
        <v>16</v>
      </c>
      <c r="P42" s="32">
        <f>S42/2000</f>
        <v>5</v>
      </c>
      <c r="Q42" s="1" t="s">
        <v>17</v>
      </c>
      <c r="R42" s="33">
        <f>VLOOKUP(V41,Data!A:F,6,FALSE)</f>
        <v>24070006</v>
      </c>
      <c r="S42" s="34">
        <v>10000</v>
      </c>
      <c r="T42" s="2" t="s">
        <v>18</v>
      </c>
      <c r="X42" s="46"/>
      <c r="Y42" s="18"/>
    </row>
    <row r="43" spans="1:28" ht="15" customHeight="1">
      <c r="A43" s="96"/>
      <c r="B43" s="20" t="str">
        <f>IF(W41="","","LOT NO:")</f>
        <v>LOT NO:</v>
      </c>
      <c r="C43" s="99" t="str">
        <f>IF(W41="","",R42&amp;IF(R43="","",","&amp;R43&amp;IF(R44="","",","&amp;R44)))</f>
        <v>24070006</v>
      </c>
      <c r="D43" s="20"/>
      <c r="E43" s="20"/>
      <c r="F43" s="93"/>
      <c r="G43" s="37"/>
      <c r="H43" s="94"/>
      <c r="I43" s="117"/>
      <c r="K43" s="128"/>
      <c r="L43" s="38" t="str">
        <f>A41&amp;"{1"&amp;C42&amp;"{2"&amp;G41&amp;"{3"&amp;R42&amp;"{4"&amp;S42&amp;"{5"&amp;R43&amp;"{6"&amp;S43&amp;"{7"&amp;R44&amp;"{8"&amp;S44</f>
        <v>6{1TA0464-C{210000{324070006{410000{5{6{7{8</v>
      </c>
      <c r="M43" s="100"/>
      <c r="O43" s="22" t="s">
        <v>16</v>
      </c>
      <c r="P43" s="32">
        <f>S43/2000</f>
        <v>0</v>
      </c>
      <c r="Q43" s="1" t="s">
        <v>17</v>
      </c>
      <c r="R43" s="39"/>
      <c r="S43" s="40"/>
      <c r="T43" s="2" t="s">
        <v>18</v>
      </c>
      <c r="X43" s="46"/>
    </row>
    <row r="44" spans="1:28" ht="15" customHeight="1">
      <c r="A44" s="101"/>
      <c r="B44" s="102" t="str">
        <f>IF(W41="","","PO.NO.")</f>
        <v>PO.NO.</v>
      </c>
      <c r="C44" s="103" t="str">
        <f>IF(W41="","",X41)</f>
        <v>DMT121148</v>
      </c>
      <c r="D44" s="104" t="str">
        <f>IF(W41="","","(Cable from Bando Lao)")</f>
        <v>(Cable from Bando Lao)</v>
      </c>
      <c r="E44" s="104"/>
      <c r="F44" s="105"/>
      <c r="G44" s="41"/>
      <c r="H44" s="106"/>
      <c r="I44" s="106"/>
      <c r="J44" s="129"/>
      <c r="K44" s="130"/>
      <c r="L44" s="107"/>
      <c r="M44" s="108"/>
      <c r="O44" s="22"/>
      <c r="P44" s="32">
        <f>S44/2000</f>
        <v>0</v>
      </c>
      <c r="Q44" s="1" t="s">
        <v>17</v>
      </c>
      <c r="R44" s="39"/>
      <c r="S44" s="40"/>
      <c r="T44" s="42" t="s">
        <v>18</v>
      </c>
      <c r="U44" s="42"/>
      <c r="V44" s="42"/>
      <c r="W44" s="42"/>
      <c r="X44" s="47"/>
    </row>
    <row r="45" spans="1:28" ht="15" customHeight="1">
      <c r="A45" s="91">
        <f>IF(W45="","",A41+1)</f>
        <v>7</v>
      </c>
      <c r="B45" s="92" t="str">
        <f>IF(W45="","",VLOOKUP(C46,Data!B:C,2,FALSE))</f>
        <v>PVC129</v>
      </c>
      <c r="C45" s="109"/>
      <c r="D45" s="20"/>
      <c r="E45" s="20"/>
      <c r="F45" s="93"/>
      <c r="G45" s="21">
        <f>IF(W45="","",SUM(S46:S48))</f>
        <v>10000</v>
      </c>
      <c r="H45" s="94" t="str">
        <f>IF(W45="","","M.")</f>
        <v>M.</v>
      </c>
      <c r="I45" s="116" t="str">
        <f>IF(W45="","",VLOOKUP(C46,Data!B:E,4,FALSE))</f>
        <v>DMT121149</v>
      </c>
      <c r="J45" s="127">
        <f>IF(W45="","",VLOOKUP(C46,Data!B:F,5,FALSE))</f>
        <v>24070007</v>
      </c>
      <c r="K45" s="116">
        <f>IFERROR(IF(P46="","",J45*(P46+P47+P48)),"")</f>
        <v>120350035</v>
      </c>
      <c r="L45" s="134" t="str">
        <f>IF(W45="","","35.0 x 35.0 x 14.0")</f>
        <v>35.0 x 35.0 x 14.0</v>
      </c>
      <c r="M45" s="135"/>
      <c r="N45" s="95"/>
      <c r="O45" s="22" t="s">
        <v>16</v>
      </c>
      <c r="R45" s="23"/>
      <c r="S45" s="24"/>
      <c r="T45" s="25"/>
      <c r="U45" s="25"/>
      <c r="V45" s="25">
        <f>V41+1</f>
        <v>7</v>
      </c>
      <c r="W45" s="26" t="str">
        <f>VLOOKUP(V45,Data!A:B,2,FALSE)</f>
        <v>TA0667</v>
      </c>
      <c r="X45" s="27" t="str">
        <f>VLOOKUP(V45,Data!A:F,5,FALSE)</f>
        <v>DMT121149</v>
      </c>
      <c r="Y45" s="2">
        <f>G45/2000</f>
        <v>5</v>
      </c>
      <c r="AA45" s="45" t="str">
        <f>AB41+1&amp;IF(Y45=1,"","-"&amp;AB45)</f>
        <v>47-51</v>
      </c>
      <c r="AB45" s="2">
        <f>ROUNDUP(SUM($Y$21:Y45),0)</f>
        <v>51</v>
      </c>
    </row>
    <row r="46" spans="1:28" ht="15" customHeight="1">
      <c r="A46" s="96"/>
      <c r="B46" s="20" t="str">
        <f>IF(W45="","","PART NO :")</f>
        <v>PART NO :</v>
      </c>
      <c r="C46" s="30" t="str">
        <f>IF(W45="","",W45)</f>
        <v>TA0667</v>
      </c>
      <c r="D46" s="97"/>
      <c r="E46" s="20" t="str">
        <f>IF(C46="","",", "&amp;VLOOKUP(C46,Data!B:D,3,FALSE))</f>
        <v>, PM060HH33</v>
      </c>
      <c r="F46" s="93"/>
      <c r="G46" s="31" t="str">
        <f>IF(W45="","","(2000 M./BOX)")</f>
        <v>(2000 M./BOX)</v>
      </c>
      <c r="H46" s="94"/>
      <c r="I46" s="117"/>
      <c r="K46" s="116"/>
      <c r="L46" s="132" t="str">
        <f>IF(W45="","","C/N   "&amp;AA45)</f>
        <v>C/N   47-51</v>
      </c>
      <c r="M46" s="133"/>
      <c r="N46" s="110"/>
      <c r="O46" s="22" t="s">
        <v>16</v>
      </c>
      <c r="P46" s="32">
        <f>S46/2000</f>
        <v>5</v>
      </c>
      <c r="Q46" s="1" t="s">
        <v>17</v>
      </c>
      <c r="R46" s="33">
        <f>VLOOKUP(V45,Data!A:F,6,FALSE)</f>
        <v>24070007</v>
      </c>
      <c r="S46" s="34">
        <v>10000</v>
      </c>
      <c r="T46" s="2" t="s">
        <v>18</v>
      </c>
      <c r="X46" s="46"/>
      <c r="Y46" s="18"/>
    </row>
    <row r="47" spans="1:28" ht="15" customHeight="1">
      <c r="A47" s="96"/>
      <c r="B47" s="20" t="str">
        <f>IF(W45="","","LOT NO:")</f>
        <v>LOT NO:</v>
      </c>
      <c r="C47" s="99" t="str">
        <f>IF(W45="","",R46&amp;IF(R47="","",","&amp;R47&amp;IF(R48="","",","&amp;R48)))</f>
        <v>24070007</v>
      </c>
      <c r="D47" s="20"/>
      <c r="E47" s="20"/>
      <c r="F47" s="93"/>
      <c r="G47" s="37"/>
      <c r="H47" s="94"/>
      <c r="I47" s="117"/>
      <c r="K47" s="128"/>
      <c r="L47" s="38" t="str">
        <f>A45&amp;"{1"&amp;C46&amp;"{2"&amp;G45&amp;"{3"&amp;R46&amp;"{4"&amp;S46&amp;"{5"&amp;R47&amp;"{6"&amp;S47&amp;"{7"&amp;R48&amp;"{8"&amp;S48</f>
        <v>7{1TA0667{210000{324070007{410000{5{6{7{8</v>
      </c>
      <c r="M47" s="100"/>
      <c r="O47" s="22" t="s">
        <v>16</v>
      </c>
      <c r="P47" s="32">
        <f>S47/2000</f>
        <v>0</v>
      </c>
      <c r="Q47" s="1" t="s">
        <v>17</v>
      </c>
      <c r="R47" s="39"/>
      <c r="S47" s="40"/>
      <c r="T47" s="2" t="s">
        <v>18</v>
      </c>
      <c r="X47" s="46"/>
    </row>
    <row r="48" spans="1:28" ht="15" customHeight="1">
      <c r="A48" s="101"/>
      <c r="B48" s="102" t="str">
        <f>IF(W45="","","PO.NO.")</f>
        <v>PO.NO.</v>
      </c>
      <c r="C48" s="103" t="str">
        <f>IF(W45="","",X45)</f>
        <v>DMT121149</v>
      </c>
      <c r="D48" s="104" t="str">
        <f>IF(W45="","","(Cable from Bando Lao)")</f>
        <v>(Cable from Bando Lao)</v>
      </c>
      <c r="E48" s="104"/>
      <c r="F48" s="105"/>
      <c r="G48" s="41"/>
      <c r="H48" s="106"/>
      <c r="I48" s="106"/>
      <c r="J48" s="129"/>
      <c r="K48" s="130"/>
      <c r="L48" s="107"/>
      <c r="M48" s="108"/>
      <c r="O48" s="22"/>
      <c r="P48" s="32">
        <f>S48/2000</f>
        <v>0</v>
      </c>
      <c r="Q48" s="1" t="s">
        <v>17</v>
      </c>
      <c r="R48" s="39"/>
      <c r="S48" s="40"/>
      <c r="T48" s="42" t="s">
        <v>18</v>
      </c>
      <c r="U48" s="42"/>
      <c r="V48" s="42"/>
      <c r="W48" s="42"/>
      <c r="X48" s="47"/>
    </row>
    <row r="49" spans="1:28" ht="15" customHeight="1">
      <c r="A49" s="91">
        <f>IF(W49="","",A45+1)</f>
        <v>8</v>
      </c>
      <c r="B49" s="92" t="str">
        <f>IF(W49="","",VLOOKUP(C50,Data!B:C,2,FALSE))</f>
        <v>PVC130</v>
      </c>
      <c r="C49" s="109"/>
      <c r="D49" s="20"/>
      <c r="E49" s="20"/>
      <c r="F49" s="93"/>
      <c r="G49" s="21">
        <f>IF(W49="","",SUM(S50:S52))</f>
        <v>500</v>
      </c>
      <c r="H49" s="94" t="str">
        <f>IF(W49="","","M.")</f>
        <v>M.</v>
      </c>
      <c r="I49" s="116" t="str">
        <f>IF(W49="","",VLOOKUP(C50,Data!B:E,4,FALSE))</f>
        <v>DMT121150</v>
      </c>
      <c r="J49" s="127">
        <f>IF(W49="","",VLOOKUP(C50,Data!B:F,5,FALSE))</f>
        <v>24070008</v>
      </c>
      <c r="K49" s="116">
        <f>IFERROR(IF(P50="","",J49*(P50+P51+P52)),"")</f>
        <v>6017502</v>
      </c>
      <c r="L49" s="134" t="str">
        <f>IF(W49="","","35.0 x 35.0 x 14.0")</f>
        <v>35.0 x 35.0 x 14.0</v>
      </c>
      <c r="M49" s="135"/>
      <c r="N49" s="95"/>
      <c r="O49" s="22" t="s">
        <v>16</v>
      </c>
      <c r="R49" s="23"/>
      <c r="S49" s="24"/>
      <c r="T49" s="25"/>
      <c r="U49" s="25"/>
      <c r="V49" s="25">
        <f>V45+1</f>
        <v>8</v>
      </c>
      <c r="W49" s="48" t="str">
        <f>VLOOKUP(V49,Data!A:B,2,FALSE)</f>
        <v>TA0675-C</v>
      </c>
      <c r="X49" s="27" t="str">
        <f>VLOOKUP(V49,Data!A:F,5,FALSE)</f>
        <v>DMT121150</v>
      </c>
      <c r="Y49" s="2">
        <f>G49/2000</f>
        <v>0.25</v>
      </c>
      <c r="AA49" s="45" t="str">
        <f>AB45+1&amp;IF(Y49=1,"","-"&amp;AB49)</f>
        <v>52-51</v>
      </c>
      <c r="AB49" s="2">
        <f>ROUNDUP(SUM($Y$21:Y49),0)</f>
        <v>51</v>
      </c>
    </row>
    <row r="50" spans="1:28" ht="15" customHeight="1">
      <c r="A50" s="96"/>
      <c r="B50" s="20" t="str">
        <f>IF(W49="","","PART NO :")</f>
        <v>PART NO :</v>
      </c>
      <c r="C50" s="30" t="str">
        <f>IF(W49="","",W49)</f>
        <v>TA0675-C</v>
      </c>
      <c r="D50" s="97"/>
      <c r="E50" s="20" t="str">
        <f>IF(C50="","",", "&amp;VLOOKUP(C50,Data!B:D,3,FALSE))</f>
        <v>, PM060HH35</v>
      </c>
      <c r="F50" s="93"/>
      <c r="G50" s="31" t="str">
        <f>IF(W49="","","(2000 M./BOX)")</f>
        <v>(2000 M./BOX)</v>
      </c>
      <c r="H50" s="94"/>
      <c r="I50" s="117"/>
      <c r="K50" s="116"/>
      <c r="L50" s="132" t="str">
        <f>IF(W49="","","C/N   "&amp;AA49)</f>
        <v>C/N   52-51</v>
      </c>
      <c r="M50" s="133"/>
      <c r="N50" s="98"/>
      <c r="O50" s="22" t="s">
        <v>16</v>
      </c>
      <c r="P50" s="32">
        <f>S50/2000</f>
        <v>0.25</v>
      </c>
      <c r="Q50" s="1" t="s">
        <v>17</v>
      </c>
      <c r="R50" s="33">
        <f>VLOOKUP(V49,Data!A:F,6,FALSE)</f>
        <v>24070008</v>
      </c>
      <c r="S50" s="34">
        <v>500</v>
      </c>
      <c r="T50" s="2" t="s">
        <v>18</v>
      </c>
      <c r="X50" s="46"/>
      <c r="Y50" s="18"/>
    </row>
    <row r="51" spans="1:28" ht="15" customHeight="1">
      <c r="A51" s="96"/>
      <c r="B51" s="20" t="str">
        <f>IF(W49="","","LOT NO:")</f>
        <v>LOT NO:</v>
      </c>
      <c r="C51" s="99" t="str">
        <f>IF(W49="","",R50&amp;IF(R51="","",","&amp;R51&amp;IF(R52="","",","&amp;R52)))</f>
        <v>24070008</v>
      </c>
      <c r="D51" s="20"/>
      <c r="E51" s="20"/>
      <c r="F51" s="93"/>
      <c r="G51" s="37"/>
      <c r="H51" s="94"/>
      <c r="I51" s="117"/>
      <c r="K51" s="128"/>
      <c r="L51" s="38" t="str">
        <f>A49&amp;"{1"&amp;C50&amp;"{2"&amp;G49&amp;"{3"&amp;R50&amp;"{4"&amp;S50&amp;"{5"&amp;R51&amp;"{6"&amp;S51&amp;"{7"&amp;R52&amp;"{8"&amp;S52</f>
        <v>8{1TA0675-C{2500{324070008{4500{5{6{7{8</v>
      </c>
      <c r="M51" s="100"/>
      <c r="O51" s="22" t="s">
        <v>16</v>
      </c>
      <c r="P51" s="32">
        <f>S51/2000</f>
        <v>0</v>
      </c>
      <c r="Q51" s="1" t="s">
        <v>17</v>
      </c>
      <c r="R51" s="39"/>
      <c r="S51" s="40"/>
      <c r="T51" s="2" t="s">
        <v>18</v>
      </c>
      <c r="X51" s="46"/>
    </row>
    <row r="52" spans="1:28" ht="15" customHeight="1">
      <c r="A52" s="101"/>
      <c r="B52" s="102" t="str">
        <f>IF(W49="","","PO.NO.")</f>
        <v>PO.NO.</v>
      </c>
      <c r="C52" s="103" t="str">
        <f>IF(W49="","",X49)</f>
        <v>DMT121150</v>
      </c>
      <c r="D52" s="104" t="str">
        <f>IF(W49="","","(Cable from Bando Lao)")</f>
        <v>(Cable from Bando Lao)</v>
      </c>
      <c r="E52" s="104"/>
      <c r="F52" s="105"/>
      <c r="G52" s="41"/>
      <c r="H52" s="106"/>
      <c r="I52" s="106"/>
      <c r="J52" s="129"/>
      <c r="K52" s="130"/>
      <c r="L52" s="107"/>
      <c r="M52" s="108"/>
      <c r="O52" s="22"/>
      <c r="P52" s="32">
        <f>S52/2000</f>
        <v>0</v>
      </c>
      <c r="Q52" s="1" t="s">
        <v>17</v>
      </c>
      <c r="R52" s="39"/>
      <c r="S52" s="40"/>
      <c r="T52" s="42" t="s">
        <v>18</v>
      </c>
      <c r="U52" s="42"/>
      <c r="V52" s="42"/>
      <c r="W52" s="42"/>
      <c r="X52" s="47"/>
    </row>
    <row r="53" spans="1:28" ht="15" customHeight="1">
      <c r="A53" s="91">
        <f>IF(W53="","",A49+1)</f>
        <v>9</v>
      </c>
      <c r="B53" s="92" t="str">
        <f>IF(W53="","",VLOOKUP(C54,Data!B:C,2,FALSE))</f>
        <v>PVC131</v>
      </c>
      <c r="C53" s="109"/>
      <c r="D53" s="20"/>
      <c r="E53" s="20"/>
      <c r="F53" s="93"/>
      <c r="G53" s="21">
        <f>IF(W53="","",SUM(S54:S56))</f>
        <v>3000</v>
      </c>
      <c r="H53" s="94" t="str">
        <f>IF(W53="","","M.")</f>
        <v>M.</v>
      </c>
      <c r="I53" s="116" t="str">
        <f>IF(W53="","",VLOOKUP(C54,Data!B:E,4,FALSE))</f>
        <v>DMT121151</v>
      </c>
      <c r="J53" s="127">
        <f>IF(W53="","",VLOOKUP(C54,Data!B:F,5,FALSE))</f>
        <v>24070009</v>
      </c>
      <c r="K53" s="116">
        <f>IFERROR(IF(P54="","",J53*(P54+P55+P56)),"")</f>
        <v>36105013.5</v>
      </c>
      <c r="L53" s="134" t="str">
        <f>IF(W53="","","35.0 x 35.0 x 14.0")</f>
        <v>35.0 x 35.0 x 14.0</v>
      </c>
      <c r="M53" s="135"/>
      <c r="N53" s="95"/>
      <c r="O53" s="22" t="s">
        <v>16</v>
      </c>
      <c r="R53" s="23"/>
      <c r="S53" s="24"/>
      <c r="T53" s="25"/>
      <c r="U53" s="25"/>
      <c r="V53" s="25">
        <f>V49+1</f>
        <v>9</v>
      </c>
      <c r="W53" s="48" t="str">
        <f>VLOOKUP(V53,Data!A:B,2,FALSE)</f>
        <v>TA0712-B</v>
      </c>
      <c r="X53" s="27" t="str">
        <f>VLOOKUP(V53,Data!A:F,5,FALSE)</f>
        <v>DMT121151</v>
      </c>
      <c r="Y53" s="2">
        <f>G53/2000</f>
        <v>1.5</v>
      </c>
      <c r="AA53" s="45" t="str">
        <f>AB49+1&amp;IF(Y53=1,"","-"&amp;AB53)</f>
        <v>52-52</v>
      </c>
      <c r="AB53" s="2">
        <f>ROUNDUP(SUM($Y$21:Y53),0)</f>
        <v>52</v>
      </c>
    </row>
    <row r="54" spans="1:28" ht="15" customHeight="1">
      <c r="A54" s="96"/>
      <c r="B54" s="20" t="str">
        <f>IF(W53="","","PART NO :")</f>
        <v>PART NO :</v>
      </c>
      <c r="C54" s="30" t="str">
        <f>IF(W53="","",W53)</f>
        <v>TA0712-B</v>
      </c>
      <c r="D54" s="97"/>
      <c r="E54" s="20" t="str">
        <f>IF(C54="","",", "&amp;VLOOKUP(C54,Data!B:D,3,FALSE))</f>
        <v>, PM060HH37</v>
      </c>
      <c r="F54" s="93"/>
      <c r="G54" s="31" t="str">
        <f>IF(W53="","","(2000 M./BOX)")</f>
        <v>(2000 M./BOX)</v>
      </c>
      <c r="H54" s="94"/>
      <c r="I54" s="117"/>
      <c r="K54" s="116"/>
      <c r="L54" s="132" t="str">
        <f>IF(W53="","","C/N   "&amp;AA53)</f>
        <v>C/N   52-52</v>
      </c>
      <c r="M54" s="133"/>
      <c r="N54" s="98"/>
      <c r="O54" s="22" t="s">
        <v>16</v>
      </c>
      <c r="P54" s="32">
        <f>S54/2000</f>
        <v>1.5</v>
      </c>
      <c r="Q54" s="1" t="s">
        <v>17</v>
      </c>
      <c r="R54" s="33">
        <f>VLOOKUP(V53,Data!A:F,6,FALSE)</f>
        <v>24070009</v>
      </c>
      <c r="S54" s="34">
        <v>3000</v>
      </c>
      <c r="T54" s="2" t="s">
        <v>18</v>
      </c>
      <c r="X54" s="46"/>
      <c r="Y54" s="18"/>
    </row>
    <row r="55" spans="1:28" ht="15" customHeight="1">
      <c r="A55" s="96"/>
      <c r="B55" s="20" t="str">
        <f>IF(W53="","","LOT NO:")</f>
        <v>LOT NO:</v>
      </c>
      <c r="C55" s="99" t="str">
        <f>IF(W53="","",R54&amp;IF(R55="","",","&amp;R55&amp;IF(R56="","",","&amp;R56)))</f>
        <v>24070009</v>
      </c>
      <c r="D55" s="20"/>
      <c r="E55" s="20"/>
      <c r="F55" s="93"/>
      <c r="G55" s="37"/>
      <c r="H55" s="94"/>
      <c r="I55" s="117"/>
      <c r="K55" s="128"/>
      <c r="L55" s="38" t="str">
        <f>A53&amp;"{1"&amp;C54&amp;"{2"&amp;G53&amp;"{3"&amp;R54&amp;"{4"&amp;S54&amp;"{5"&amp;R55&amp;"{6"&amp;S55&amp;"{7"&amp;R56&amp;"{8"&amp;S56</f>
        <v>9{1TA0712-B{23000{324070009{43000{5{6{7{8</v>
      </c>
      <c r="M55" s="100"/>
      <c r="O55" s="22" t="s">
        <v>16</v>
      </c>
      <c r="P55" s="32">
        <f>S55/2000</f>
        <v>0</v>
      </c>
      <c r="Q55" s="1" t="s">
        <v>17</v>
      </c>
      <c r="R55" s="39"/>
      <c r="S55" s="40"/>
      <c r="T55" s="2" t="s">
        <v>18</v>
      </c>
      <c r="X55" s="46"/>
    </row>
    <row r="56" spans="1:28" ht="15" customHeight="1">
      <c r="A56" s="101"/>
      <c r="B56" s="102" t="str">
        <f>IF(W53="","","PO.NO.")</f>
        <v>PO.NO.</v>
      </c>
      <c r="C56" s="103" t="str">
        <f>IF(W53="","",X53)</f>
        <v>DMT121151</v>
      </c>
      <c r="D56" s="104" t="str">
        <f>IF(W53="","","(Cable from Bando Lao)")</f>
        <v>(Cable from Bando Lao)</v>
      </c>
      <c r="E56" s="104"/>
      <c r="F56" s="105"/>
      <c r="G56" s="41"/>
      <c r="H56" s="106"/>
      <c r="I56" s="106"/>
      <c r="J56" s="129"/>
      <c r="K56" s="130"/>
      <c r="L56" s="107"/>
      <c r="M56" s="108"/>
      <c r="O56" s="22"/>
      <c r="P56" s="32">
        <f>S56/2000</f>
        <v>0</v>
      </c>
      <c r="Q56" s="1" t="s">
        <v>17</v>
      </c>
      <c r="R56" s="39"/>
      <c r="S56" s="40"/>
      <c r="T56" s="42" t="s">
        <v>18</v>
      </c>
      <c r="U56" s="42"/>
      <c r="V56" s="42"/>
      <c r="W56" s="42"/>
      <c r="X56" s="47"/>
    </row>
    <row r="57" spans="1:28" ht="15" customHeight="1">
      <c r="A57" s="91">
        <f>IF(W57="","",A53+1)</f>
        <v>10</v>
      </c>
      <c r="B57" s="92" t="str">
        <f>IF(W57="","",VLOOKUP(C58,Data!B:C,2,FALSE))</f>
        <v>PVC132</v>
      </c>
      <c r="C57" s="109"/>
      <c r="D57" s="20"/>
      <c r="E57" s="20"/>
      <c r="F57" s="93"/>
      <c r="G57" s="21">
        <f>IF(W57="","",SUM(S58:S60))</f>
        <v>4000</v>
      </c>
      <c r="H57" s="94" t="str">
        <f>IF(W57="","","M.")</f>
        <v>M.</v>
      </c>
      <c r="I57" s="116" t="str">
        <f>IF(W57="","",VLOOKUP(C58,Data!B:E,4,FALSE))</f>
        <v>DMT121152</v>
      </c>
      <c r="J57" s="127">
        <f>IF(W57="","",VLOOKUP(C58,Data!B:F,5,FALSE))</f>
        <v>24070010</v>
      </c>
      <c r="K57" s="116">
        <f>IFERROR(IF(P58="","",J57*(P58+P59+P60)),"")</f>
        <v>48140020</v>
      </c>
      <c r="L57" s="134" t="str">
        <f>IF(W57="","","35.0 x 35.0 x 14.0")</f>
        <v>35.0 x 35.0 x 14.0</v>
      </c>
      <c r="M57" s="135"/>
      <c r="N57" s="95"/>
      <c r="O57" s="22" t="s">
        <v>16</v>
      </c>
      <c r="R57" s="23"/>
      <c r="S57" s="24"/>
      <c r="T57" s="25"/>
      <c r="U57" s="25"/>
      <c r="V57" s="25">
        <f>V53+1</f>
        <v>10</v>
      </c>
      <c r="W57" s="48" t="str">
        <f>VLOOKUP(V57,Data!A:B,2,FALSE)</f>
        <v>TA0722-D</v>
      </c>
      <c r="X57" s="27" t="str">
        <f>VLOOKUP(V57,Data!A:F,5,FALSE)</f>
        <v>DMT121152</v>
      </c>
      <c r="Y57" s="2">
        <f>G57/2000</f>
        <v>2</v>
      </c>
      <c r="AA57" s="45" t="str">
        <f>AB53+1&amp;IF(Y57=1,"","-"&amp;AB57)</f>
        <v>53-54</v>
      </c>
      <c r="AB57" s="2">
        <f>ROUNDUP(SUM($Y$21:Y57),0)</f>
        <v>54</v>
      </c>
    </row>
    <row r="58" spans="1:28" ht="15" customHeight="1">
      <c r="A58" s="96"/>
      <c r="B58" s="20" t="str">
        <f>IF(W57="","","PART NO :")</f>
        <v>PART NO :</v>
      </c>
      <c r="C58" s="30" t="str">
        <f>IF(W57="","",W57)</f>
        <v>TA0722-D</v>
      </c>
      <c r="D58" s="97"/>
      <c r="E58" s="20" t="str">
        <f>IF(C58="","",", "&amp;VLOOKUP(C58,Data!B:D,3,FALSE))</f>
        <v>, PM060HH38</v>
      </c>
      <c r="F58" s="93"/>
      <c r="G58" s="31" t="str">
        <f>IF(W57="","","(2000 M./BOX)")</f>
        <v>(2000 M./BOX)</v>
      </c>
      <c r="H58" s="94"/>
      <c r="I58" s="117"/>
      <c r="K58" s="116"/>
      <c r="L58" s="132" t="str">
        <f>IF(W57="","","C/N   "&amp;AA57)</f>
        <v>C/N   53-54</v>
      </c>
      <c r="M58" s="133"/>
      <c r="N58" s="98"/>
      <c r="O58" s="22" t="s">
        <v>16</v>
      </c>
      <c r="P58" s="32">
        <f>S58/2000</f>
        <v>2</v>
      </c>
      <c r="Q58" s="1" t="s">
        <v>17</v>
      </c>
      <c r="R58" s="33">
        <f>VLOOKUP(V57,Data!A:F,6,FALSE)</f>
        <v>24070010</v>
      </c>
      <c r="S58" s="34">
        <v>4000</v>
      </c>
      <c r="T58" s="2" t="s">
        <v>18</v>
      </c>
      <c r="X58" s="46"/>
      <c r="Y58" s="18"/>
    </row>
    <row r="59" spans="1:28" ht="15" customHeight="1">
      <c r="A59" s="96"/>
      <c r="B59" s="20" t="str">
        <f>IF(W57="","","LOT NO:")</f>
        <v>LOT NO:</v>
      </c>
      <c r="C59" s="99" t="str">
        <f>IF(W57="","",R58&amp;IF(R59="","",","&amp;R59&amp;IF(R60="","",","&amp;R60)))</f>
        <v>24070010</v>
      </c>
      <c r="D59" s="20"/>
      <c r="E59" s="20"/>
      <c r="F59" s="93"/>
      <c r="G59" s="37"/>
      <c r="H59" s="94"/>
      <c r="I59" s="117"/>
      <c r="K59" s="128"/>
      <c r="L59" s="38" t="str">
        <f>A57&amp;"{1"&amp;C58&amp;"{2"&amp;G57&amp;"{3"&amp;R58&amp;"{4"&amp;S58&amp;"{5"&amp;R59&amp;"{6"&amp;S59&amp;"{7"&amp;R60&amp;"{8"&amp;S60</f>
        <v>10{1TA0722-D{24000{324070010{44000{5{6{7{8</v>
      </c>
      <c r="M59" s="100"/>
      <c r="O59" s="22" t="s">
        <v>16</v>
      </c>
      <c r="P59" s="32">
        <f>S59/2000</f>
        <v>0</v>
      </c>
      <c r="Q59" s="1" t="s">
        <v>17</v>
      </c>
      <c r="R59" s="39"/>
      <c r="S59" s="40"/>
      <c r="T59" s="2" t="s">
        <v>18</v>
      </c>
      <c r="X59" s="46"/>
    </row>
    <row r="60" spans="1:28" ht="15" customHeight="1">
      <c r="A60" s="101"/>
      <c r="B60" s="102" t="str">
        <f>IF(W57="","","PO.NO.")</f>
        <v>PO.NO.</v>
      </c>
      <c r="C60" s="103" t="str">
        <f>IF(W57="","",X57)</f>
        <v>DMT121152</v>
      </c>
      <c r="D60" s="104" t="str">
        <f>IF(W57="","","(Cable from Bando Lao)")</f>
        <v>(Cable from Bando Lao)</v>
      </c>
      <c r="E60" s="104"/>
      <c r="F60" s="105"/>
      <c r="G60" s="41"/>
      <c r="H60" s="106"/>
      <c r="I60" s="106"/>
      <c r="J60" s="129"/>
      <c r="K60" s="130"/>
      <c r="L60" s="107"/>
      <c r="M60" s="108"/>
      <c r="O60" s="22"/>
      <c r="P60" s="32">
        <f>S60/2000</f>
        <v>0</v>
      </c>
      <c r="Q60" s="1" t="s">
        <v>17</v>
      </c>
      <c r="R60" s="39"/>
      <c r="S60" s="40"/>
      <c r="T60" s="42" t="s">
        <v>18</v>
      </c>
      <c r="U60" s="42"/>
      <c r="V60" s="42"/>
      <c r="W60" s="42"/>
      <c r="X60" s="47"/>
    </row>
    <row r="61" spans="1:28" ht="15" customHeight="1">
      <c r="A61" s="91">
        <f>IF(W61="","",A57+1)</f>
        <v>11</v>
      </c>
      <c r="B61" s="92" t="str">
        <f>IF(W61="","",VLOOKUP(C62,Data!B:C,2,FALSE))</f>
        <v>PVC133</v>
      </c>
      <c r="C61" s="109"/>
      <c r="D61" s="20"/>
      <c r="E61" s="20"/>
      <c r="F61" s="93"/>
      <c r="G61" s="21">
        <f>IF(W61="","",SUM(S62:S64))</f>
        <v>5000</v>
      </c>
      <c r="H61" s="94" t="str">
        <f>IF(W61="","","M.")</f>
        <v>M.</v>
      </c>
      <c r="I61" s="116" t="str">
        <f>IF(W61="","",VLOOKUP(C62,Data!B:E,4,FALSE))</f>
        <v>DMT121153</v>
      </c>
      <c r="J61" s="127">
        <f>IF(W61="","",VLOOKUP(C62,Data!B:F,5,FALSE))</f>
        <v>24070011</v>
      </c>
      <c r="K61" s="116">
        <f>IFERROR(IF(P62="","",J61*(P62+P63+P64)),"")</f>
        <v>60175027.5</v>
      </c>
      <c r="L61" s="134" t="str">
        <f>IF(W61="","","35.0 x 35.0 x 14.0")</f>
        <v>35.0 x 35.0 x 14.0</v>
      </c>
      <c r="M61" s="135"/>
      <c r="N61" s="98"/>
      <c r="O61" s="22" t="s">
        <v>16</v>
      </c>
      <c r="R61" s="23"/>
      <c r="S61" s="24"/>
      <c r="T61" s="25"/>
      <c r="U61" s="25"/>
      <c r="V61" s="25">
        <f>V57+1</f>
        <v>11</v>
      </c>
      <c r="W61" s="48" t="str">
        <f>VLOOKUP(V61,Data!A:B,2,FALSE)</f>
        <v>TA0746</v>
      </c>
      <c r="X61" s="27" t="str">
        <f>VLOOKUP(V61,Data!A:F,5,FALSE)</f>
        <v>DMT121153</v>
      </c>
      <c r="Y61" s="2">
        <f>G61/2000</f>
        <v>2.5</v>
      </c>
      <c r="AA61" s="45" t="str">
        <f>AB57+1&amp;IF(Y61=1,"","-"&amp;AB61)</f>
        <v>55-57</v>
      </c>
      <c r="AB61" s="2">
        <f>ROUNDUP(SUM($Y$21:Y61),0)</f>
        <v>57</v>
      </c>
    </row>
    <row r="62" spans="1:28" ht="15" customHeight="1">
      <c r="A62" s="96"/>
      <c r="B62" s="20" t="str">
        <f>IF(W61="","","PART NO :")</f>
        <v>PART NO :</v>
      </c>
      <c r="C62" s="30" t="str">
        <f>IF(W61="","",W61)</f>
        <v>TA0746</v>
      </c>
      <c r="D62" s="97"/>
      <c r="E62" s="20" t="str">
        <f>IF(C62="","",", "&amp;VLOOKUP(C62,Data!B:D,3,FALSE))</f>
        <v>, PM060HH42</v>
      </c>
      <c r="F62" s="93"/>
      <c r="G62" s="31" t="str">
        <f>IF(W61="","","(2000 M./BOX)")</f>
        <v>(2000 M./BOX)</v>
      </c>
      <c r="H62" s="94"/>
      <c r="I62" s="117"/>
      <c r="K62" s="116"/>
      <c r="L62" s="132" t="str">
        <f>IF(W61="","","C/N   "&amp;AA61)</f>
        <v>C/N   55-57</v>
      </c>
      <c r="M62" s="133"/>
      <c r="O62" s="22" t="s">
        <v>16</v>
      </c>
      <c r="P62" s="32">
        <f>S62/2000</f>
        <v>2.5</v>
      </c>
      <c r="Q62" s="1" t="s">
        <v>17</v>
      </c>
      <c r="R62" s="33">
        <f>VLOOKUP(V61,Data!A:F,6,FALSE)</f>
        <v>24070011</v>
      </c>
      <c r="S62" s="34">
        <v>5000</v>
      </c>
      <c r="T62" s="2" t="s">
        <v>18</v>
      </c>
      <c r="X62" s="46"/>
      <c r="Y62" s="18"/>
    </row>
    <row r="63" spans="1:28" ht="15" customHeight="1">
      <c r="A63" s="96"/>
      <c r="B63" s="20" t="str">
        <f>IF(W61="","","LOT NO:")</f>
        <v>LOT NO:</v>
      </c>
      <c r="C63" s="99" t="str">
        <f>IF(W61="","",R62&amp;IF(R63="","",","&amp;R63&amp;IF(R64="","",","&amp;R64)))</f>
        <v>24070011</v>
      </c>
      <c r="D63" s="20"/>
      <c r="E63" s="20"/>
      <c r="F63" s="93"/>
      <c r="G63" s="37"/>
      <c r="H63" s="94"/>
      <c r="I63" s="117"/>
      <c r="K63" s="128"/>
      <c r="L63" s="38" t="str">
        <f>A61&amp;"{1"&amp;C62&amp;"{2"&amp;G61&amp;"{3"&amp;R62&amp;"{4"&amp;S62&amp;"{5"&amp;R63&amp;"{6"&amp;S63&amp;"{7"&amp;R64&amp;"{8"&amp;S64</f>
        <v>11{1TA0746{25000{324070011{45000{5{6{7{8</v>
      </c>
      <c r="M63" s="100"/>
      <c r="O63" s="22" t="s">
        <v>16</v>
      </c>
      <c r="P63" s="32">
        <f>S63/2000</f>
        <v>0</v>
      </c>
      <c r="Q63" s="1" t="s">
        <v>17</v>
      </c>
      <c r="R63" s="39"/>
      <c r="S63" s="40"/>
      <c r="T63" s="2" t="s">
        <v>18</v>
      </c>
      <c r="X63" s="46"/>
    </row>
    <row r="64" spans="1:28" ht="15" customHeight="1">
      <c r="A64" s="101"/>
      <c r="B64" s="102" t="str">
        <f>IF(W61="","","PO.NO.")</f>
        <v>PO.NO.</v>
      </c>
      <c r="C64" s="103" t="str">
        <f>IF(W61="","",X61)</f>
        <v>DMT121153</v>
      </c>
      <c r="D64" s="104" t="str">
        <f>IF(W61="","","(Cable from Bando Lao)")</f>
        <v>(Cable from Bando Lao)</v>
      </c>
      <c r="E64" s="104"/>
      <c r="F64" s="105"/>
      <c r="G64" s="41"/>
      <c r="H64" s="106"/>
      <c r="I64" s="106"/>
      <c r="J64" s="129"/>
      <c r="K64" s="130"/>
      <c r="L64" s="107"/>
      <c r="M64" s="108"/>
      <c r="N64" s="95"/>
      <c r="O64" s="22"/>
      <c r="P64" s="32">
        <f>S64/2000</f>
        <v>0</v>
      </c>
      <c r="Q64" s="1" t="s">
        <v>17</v>
      </c>
      <c r="R64" s="39"/>
      <c r="S64" s="40"/>
      <c r="T64" s="42" t="s">
        <v>18</v>
      </c>
      <c r="U64" s="42"/>
      <c r="V64" s="42"/>
      <c r="W64" s="42"/>
      <c r="X64" s="47"/>
    </row>
    <row r="65" spans="1:28" ht="15" customHeight="1">
      <c r="A65" s="91">
        <f>IF(W65="","",A61+1)</f>
        <v>12</v>
      </c>
      <c r="B65" s="92" t="str">
        <f>IF(W65="","",VLOOKUP(C66,Data!B:C,2,FALSE))</f>
        <v>PVC134</v>
      </c>
      <c r="C65" s="109"/>
      <c r="D65" s="20"/>
      <c r="E65" s="20"/>
      <c r="F65" s="93"/>
      <c r="G65" s="21">
        <f>IF(W65="","",SUM(S66:S68))</f>
        <v>100</v>
      </c>
      <c r="H65" s="94" t="str">
        <f>IF(W65="","","M.")</f>
        <v>M.</v>
      </c>
      <c r="I65" s="116" t="str">
        <f>IF(W65="","",VLOOKUP(C66,Data!B:E,4,FALSE))</f>
        <v>DMT121154</v>
      </c>
      <c r="J65" s="127">
        <f>IF(W65="","",VLOOKUP(C66,Data!B:F,5,FALSE))</f>
        <v>24070012</v>
      </c>
      <c r="K65" s="116">
        <f>IFERROR(IF(P66="","",J65*(P66+P67+P68)),"")</f>
        <v>1203500.6000000001</v>
      </c>
      <c r="L65" s="134" t="str">
        <f>IF(W65="","","35.0 x 35.0 x 14.0")</f>
        <v>35.0 x 35.0 x 14.0</v>
      </c>
      <c r="M65" s="135"/>
      <c r="N65" s="98"/>
      <c r="O65" s="22" t="s">
        <v>16</v>
      </c>
      <c r="R65" s="23"/>
      <c r="S65" s="24"/>
      <c r="T65" s="25"/>
      <c r="U65" s="25"/>
      <c r="V65" s="25">
        <f>V61+1</f>
        <v>12</v>
      </c>
      <c r="W65" s="48" t="str">
        <f>VLOOKUP(V65,Data!A:B,2,FALSE)</f>
        <v>TA0758-D</v>
      </c>
      <c r="X65" s="27" t="str">
        <f>VLOOKUP(V65,Data!A:F,5,FALSE)</f>
        <v>DMT121154</v>
      </c>
      <c r="Y65" s="2">
        <f>G65/2000</f>
        <v>0.05</v>
      </c>
      <c r="AA65" s="45" t="str">
        <f>AB61+1&amp;IF(Y65=1,"","-"&amp;AB65)</f>
        <v>58-57</v>
      </c>
      <c r="AB65" s="2">
        <f>ROUNDUP(SUM($Y$21:Y65),0)</f>
        <v>57</v>
      </c>
    </row>
    <row r="66" spans="1:28" ht="15" customHeight="1">
      <c r="A66" s="96"/>
      <c r="B66" s="20" t="str">
        <f>IF(W65="","","PART NO :")</f>
        <v>PART NO :</v>
      </c>
      <c r="C66" s="30" t="str">
        <f>IF(W65="","",W65)</f>
        <v>TA0758-D</v>
      </c>
      <c r="D66" s="97"/>
      <c r="E66" s="20" t="str">
        <f>IF(C66="","",", "&amp;VLOOKUP(C66,Data!B:D,3,FALSE))</f>
        <v>, P05K1-40-100..</v>
      </c>
      <c r="F66" s="93"/>
      <c r="G66" s="31" t="str">
        <f>IF(W65="","","(2000 M./BOX)")</f>
        <v>(2000 M./BOX)</v>
      </c>
      <c r="H66" s="94"/>
      <c r="I66" s="117"/>
      <c r="K66" s="116"/>
      <c r="L66" s="132" t="str">
        <f>IF(W65="","","C/N   "&amp;AA65)</f>
        <v>C/N   58-57</v>
      </c>
      <c r="M66" s="133"/>
      <c r="O66" s="22" t="s">
        <v>16</v>
      </c>
      <c r="P66" s="32">
        <f>S66/2000</f>
        <v>0.05</v>
      </c>
      <c r="Q66" s="1" t="s">
        <v>17</v>
      </c>
      <c r="R66" s="33">
        <f>VLOOKUP(V65,Data!A:F,6,FALSE)</f>
        <v>24070012</v>
      </c>
      <c r="S66" s="34">
        <v>100</v>
      </c>
      <c r="T66" s="2" t="s">
        <v>18</v>
      </c>
      <c r="X66" s="46"/>
      <c r="Y66" s="18"/>
    </row>
    <row r="67" spans="1:28" ht="15" customHeight="1">
      <c r="A67" s="96"/>
      <c r="B67" s="20" t="str">
        <f>IF(W65="","","LOT NO:")</f>
        <v>LOT NO:</v>
      </c>
      <c r="C67" s="99" t="str">
        <f>IF(W65="","",R66&amp;IF(R67="","",","&amp;R67&amp;IF(R68="","",","&amp;R68)))</f>
        <v>24070012</v>
      </c>
      <c r="D67" s="20"/>
      <c r="E67" s="20"/>
      <c r="F67" s="93"/>
      <c r="G67" s="37"/>
      <c r="H67" s="94"/>
      <c r="I67" s="117"/>
      <c r="K67" s="128"/>
      <c r="L67" s="38" t="str">
        <f>A65&amp;"{1"&amp;C66&amp;"{2"&amp;G65&amp;"{3"&amp;R66&amp;"{4"&amp;S66&amp;"{5"&amp;R67&amp;"{6"&amp;S67&amp;"{7"&amp;R68&amp;"{8"&amp;S68</f>
        <v>12{1TA0758-D{2100{324070012{4100{5{6{7{8</v>
      </c>
      <c r="M67" s="100"/>
      <c r="O67" s="22" t="s">
        <v>16</v>
      </c>
      <c r="P67" s="32">
        <f>S67/2000</f>
        <v>0</v>
      </c>
      <c r="Q67" s="1" t="s">
        <v>17</v>
      </c>
      <c r="R67" s="39"/>
      <c r="S67" s="40"/>
      <c r="T67" s="2" t="s">
        <v>18</v>
      </c>
      <c r="X67" s="46"/>
    </row>
    <row r="68" spans="1:28" ht="15" customHeight="1">
      <c r="A68" s="101"/>
      <c r="B68" s="102" t="str">
        <f>IF(W65="","","PO.NO.")</f>
        <v>PO.NO.</v>
      </c>
      <c r="C68" s="103" t="str">
        <f>IF(W65="","",X65)</f>
        <v>DMT121154</v>
      </c>
      <c r="D68" s="104" t="str">
        <f>IF(W65="","","(Cable from Bando Lao)")</f>
        <v>(Cable from Bando Lao)</v>
      </c>
      <c r="E68" s="104"/>
      <c r="F68" s="105"/>
      <c r="G68" s="41"/>
      <c r="H68" s="106"/>
      <c r="I68" s="106"/>
      <c r="J68" s="129"/>
      <c r="K68" s="130"/>
      <c r="L68" s="107"/>
      <c r="M68" s="108"/>
      <c r="N68" s="95"/>
      <c r="O68" s="22"/>
      <c r="P68" s="32">
        <f>S68/2000</f>
        <v>0</v>
      </c>
      <c r="Q68" s="1" t="s">
        <v>17</v>
      </c>
      <c r="R68" s="39"/>
      <c r="S68" s="40"/>
      <c r="T68" s="42" t="s">
        <v>18</v>
      </c>
      <c r="U68" s="42"/>
      <c r="V68" s="42"/>
      <c r="W68" s="42"/>
      <c r="X68" s="47"/>
    </row>
    <row r="69" spans="1:28" ht="15" customHeight="1">
      <c r="A69" s="91">
        <f>IF(W69="","",A65+1)</f>
        <v>13</v>
      </c>
      <c r="B69" s="92" t="str">
        <f>IF(W69="","",VLOOKUP(C70,Data!B:C,2,FALSE))</f>
        <v>PVC135</v>
      </c>
      <c r="C69" s="109"/>
      <c r="D69" s="20"/>
      <c r="E69" s="20"/>
      <c r="F69" s="93"/>
      <c r="G69" s="21">
        <f>IF(W69="","",SUM(S70:S72))</f>
        <v>10000</v>
      </c>
      <c r="H69" s="94" t="str">
        <f>IF(W69="","","M.")</f>
        <v>M.</v>
      </c>
      <c r="I69" s="116" t="str">
        <f>IF(W69="","",VLOOKUP(C70,Data!B:E,4,FALSE))</f>
        <v>DMT121155</v>
      </c>
      <c r="J69" s="127">
        <f>IF(W69="","",VLOOKUP(C70,Data!B:F,5,FALSE))</f>
        <v>24070013</v>
      </c>
      <c r="K69" s="116">
        <f>IFERROR(IF(P70="","",J69*(P70+P71+P72)),"")</f>
        <v>120350065</v>
      </c>
      <c r="L69" s="134" t="str">
        <f>IF(W69="","","35.0 x 35.0 x 14.0")</f>
        <v>35.0 x 35.0 x 14.0</v>
      </c>
      <c r="M69" s="135"/>
      <c r="N69" s="98"/>
      <c r="O69" s="22" t="s">
        <v>16</v>
      </c>
      <c r="R69" s="23"/>
      <c r="S69" s="24"/>
      <c r="T69" s="25"/>
      <c r="U69" s="25"/>
      <c r="V69" s="25">
        <f>V65+1</f>
        <v>13</v>
      </c>
      <c r="W69" s="48" t="str">
        <f>VLOOKUP(V69,Data!A:B,2,FALSE)</f>
        <v>TA0759-D</v>
      </c>
      <c r="X69" s="27" t="str">
        <f>VLOOKUP(V69,Data!A:F,5,FALSE)</f>
        <v>DMT121155</v>
      </c>
      <c r="Y69" s="2">
        <f>G69/2000</f>
        <v>5</v>
      </c>
      <c r="AA69" s="45" t="str">
        <f>AB65+1&amp;IF(Y69=1,"","-"&amp;AB69)</f>
        <v>58-62</v>
      </c>
      <c r="AB69" s="2">
        <f>ROUNDUP(SUM($Y$21:Y69),0)</f>
        <v>62</v>
      </c>
    </row>
    <row r="70" spans="1:28" ht="15" customHeight="1">
      <c r="A70" s="96"/>
      <c r="B70" s="20" t="str">
        <f>IF(W69="","","PART NO :")</f>
        <v>PART NO :</v>
      </c>
      <c r="C70" s="30" t="str">
        <f>IF(W69="","",W69)</f>
        <v>TA0759-D</v>
      </c>
      <c r="D70" s="97"/>
      <c r="E70" s="20" t="str">
        <f>IF(C70="","",", "&amp;VLOOKUP(C70,Data!B:D,3,FALSE))</f>
        <v>, 136N120071A</v>
      </c>
      <c r="F70" s="93"/>
      <c r="G70" s="31" t="str">
        <f>IF(W69="","","(2000 M./BOX)")</f>
        <v>(2000 M./BOX)</v>
      </c>
      <c r="H70" s="94"/>
      <c r="I70" s="117"/>
      <c r="K70" s="116"/>
      <c r="L70" s="132" t="str">
        <f>IF(W69="","","C/N   "&amp;AA69)</f>
        <v>C/N   58-62</v>
      </c>
      <c r="M70" s="133"/>
      <c r="O70" s="22" t="s">
        <v>16</v>
      </c>
      <c r="P70" s="32">
        <f>S70/2000</f>
        <v>5</v>
      </c>
      <c r="Q70" s="1" t="s">
        <v>17</v>
      </c>
      <c r="R70" s="33">
        <f>VLOOKUP(V69,Data!A:F,6,FALSE)</f>
        <v>24070013</v>
      </c>
      <c r="S70" s="34">
        <v>10000</v>
      </c>
      <c r="T70" s="2" t="s">
        <v>18</v>
      </c>
      <c r="X70" s="46"/>
      <c r="Y70" s="18"/>
    </row>
    <row r="71" spans="1:28" ht="15" customHeight="1">
      <c r="A71" s="96"/>
      <c r="B71" s="20" t="str">
        <f>IF(W69="","","LOT NO:")</f>
        <v>LOT NO:</v>
      </c>
      <c r="C71" s="99" t="str">
        <f>IF(W69="","",R70&amp;IF(R71="","",","&amp;R71&amp;IF(R72="","",","&amp;R72)))</f>
        <v>24070013</v>
      </c>
      <c r="D71" s="20"/>
      <c r="E71" s="20"/>
      <c r="F71" s="93"/>
      <c r="G71" s="37"/>
      <c r="H71" s="94"/>
      <c r="I71" s="117"/>
      <c r="K71" s="128"/>
      <c r="L71" s="38" t="str">
        <f>A69&amp;"{1"&amp;C70&amp;"{2"&amp;G69&amp;"{3"&amp;R70&amp;"{4"&amp;S70&amp;"{5"&amp;R71&amp;"{6"&amp;S71&amp;"{7"&amp;R72&amp;"{8"&amp;S72</f>
        <v>13{1TA0759-D{210000{324070013{410000{5{6{7{8</v>
      </c>
      <c r="M71" s="100"/>
      <c r="O71" s="22" t="s">
        <v>16</v>
      </c>
      <c r="P71" s="32">
        <f>S71/2000</f>
        <v>0</v>
      </c>
      <c r="Q71" s="1" t="s">
        <v>17</v>
      </c>
      <c r="R71" s="39"/>
      <c r="S71" s="40"/>
      <c r="T71" s="2" t="s">
        <v>18</v>
      </c>
      <c r="X71" s="46"/>
    </row>
    <row r="72" spans="1:28" ht="15" customHeight="1">
      <c r="A72" s="101"/>
      <c r="B72" s="102" t="str">
        <f>IF(W69="","","PO.NO.")</f>
        <v>PO.NO.</v>
      </c>
      <c r="C72" s="103" t="str">
        <f>IF(W69="","",X69)</f>
        <v>DMT121155</v>
      </c>
      <c r="D72" s="104" t="str">
        <f>IF(W69="","","(Cable from Bando Lao)")</f>
        <v>(Cable from Bando Lao)</v>
      </c>
      <c r="E72" s="104"/>
      <c r="F72" s="105"/>
      <c r="G72" s="41"/>
      <c r="H72" s="106"/>
      <c r="I72" s="106"/>
      <c r="J72" s="129"/>
      <c r="K72" s="130"/>
      <c r="L72" s="107"/>
      <c r="M72" s="108"/>
      <c r="N72" s="95"/>
      <c r="O72" s="22"/>
      <c r="P72" s="32">
        <f>S72/2000</f>
        <v>0</v>
      </c>
      <c r="Q72" s="1" t="s">
        <v>17</v>
      </c>
      <c r="R72" s="39"/>
      <c r="S72" s="40"/>
      <c r="T72" s="42" t="s">
        <v>18</v>
      </c>
      <c r="U72" s="42"/>
      <c r="V72" s="42"/>
      <c r="W72" s="42"/>
      <c r="X72" s="47"/>
    </row>
    <row r="73" spans="1:28" ht="15" customHeight="1">
      <c r="A73" s="91">
        <f>IF(W73="","",A69+1)</f>
        <v>14</v>
      </c>
      <c r="B73" s="92" t="str">
        <f>IF(W73="","",VLOOKUP(C74,Data!B:C,2,FALSE))</f>
        <v>PVC136</v>
      </c>
      <c r="C73" s="109"/>
      <c r="D73" s="20"/>
      <c r="E73" s="20"/>
      <c r="F73" s="93"/>
      <c r="G73" s="21">
        <f>IF(W73="","",SUM(S74:S76))</f>
        <v>8000</v>
      </c>
      <c r="H73" s="94" t="str">
        <f>IF(W73="","","M.")</f>
        <v>M.</v>
      </c>
      <c r="I73" s="116" t="str">
        <f>IF(W73="","",VLOOKUP(C74,Data!B:E,4,FALSE))</f>
        <v>DMT121156</v>
      </c>
      <c r="J73" s="127">
        <f>IF(W73="","",VLOOKUP(C74,Data!B:F,5,FALSE))</f>
        <v>24070014</v>
      </c>
      <c r="K73" s="116">
        <f>IFERROR(IF(P74="","",J73*(P74+P75+P76)),"")</f>
        <v>96280056</v>
      </c>
      <c r="L73" s="134" t="str">
        <f>IF(W73="","","35.0 x 35.0 x 14.0")</f>
        <v>35.0 x 35.0 x 14.0</v>
      </c>
      <c r="M73" s="135"/>
      <c r="N73" s="98"/>
      <c r="O73" s="22" t="s">
        <v>16</v>
      </c>
      <c r="R73" s="23"/>
      <c r="S73" s="24"/>
      <c r="T73" s="25"/>
      <c r="U73" s="25"/>
      <c r="V73" s="25">
        <f>V69+1</f>
        <v>14</v>
      </c>
      <c r="W73" s="48" t="str">
        <f>VLOOKUP(V73,Data!A:B,2,FALSE)</f>
        <v>TA0760-D</v>
      </c>
      <c r="X73" s="27" t="str">
        <f>VLOOKUP(V73,Data!A:F,5,FALSE)</f>
        <v>DMT121156</v>
      </c>
      <c r="Y73" s="2">
        <f>G73/2000</f>
        <v>4</v>
      </c>
      <c r="AA73" s="45" t="str">
        <f>AB69+1&amp;IF(Y73=1,"","-"&amp;AB73)</f>
        <v>63-66</v>
      </c>
      <c r="AB73" s="2">
        <f>ROUNDUP(SUM($Y$21:Y73),0)</f>
        <v>66</v>
      </c>
    </row>
    <row r="74" spans="1:28" ht="15" customHeight="1">
      <c r="A74" s="96"/>
      <c r="B74" s="20" t="str">
        <f>IF(W73="","","PART NO :")</f>
        <v>PART NO :</v>
      </c>
      <c r="C74" s="30" t="str">
        <f>IF(W73="","",W73)</f>
        <v>TA0760-D</v>
      </c>
      <c r="D74" s="97"/>
      <c r="E74" s="20" t="str">
        <f>IF(C74="","",", "&amp;VLOOKUP(C74,Data!B:D,3,FALSE))</f>
        <v>, 136N120072A</v>
      </c>
      <c r="F74" s="93"/>
      <c r="G74" s="31" t="str">
        <f>IF(W73="","","(2000 M./BOX)")</f>
        <v>(2000 M./BOX)</v>
      </c>
      <c r="H74" s="94"/>
      <c r="I74" s="117"/>
      <c r="K74" s="116"/>
      <c r="L74" s="132" t="str">
        <f>IF(W73="","","C/N   "&amp;AA73)</f>
        <v>C/N   63-66</v>
      </c>
      <c r="M74" s="133"/>
      <c r="O74" s="22" t="s">
        <v>16</v>
      </c>
      <c r="P74" s="32">
        <f>S74/2000</f>
        <v>4</v>
      </c>
      <c r="Q74" s="1" t="s">
        <v>17</v>
      </c>
      <c r="R74" s="33">
        <f>VLOOKUP(V73,Data!A:F,6,FALSE)</f>
        <v>24070014</v>
      </c>
      <c r="S74" s="34">
        <v>8000</v>
      </c>
      <c r="T74" s="2" t="s">
        <v>18</v>
      </c>
      <c r="X74" s="46"/>
      <c r="Y74" s="18"/>
    </row>
    <row r="75" spans="1:28" ht="15" customHeight="1">
      <c r="A75" s="96"/>
      <c r="B75" s="20" t="str">
        <f>IF(W73="","","LOT NO:")</f>
        <v>LOT NO:</v>
      </c>
      <c r="C75" s="99" t="str">
        <f>IF(W73="","",R74&amp;IF(R75="","",","&amp;R75&amp;IF(R76="","",","&amp;R76)))</f>
        <v>24070014</v>
      </c>
      <c r="D75" s="20"/>
      <c r="E75" s="20"/>
      <c r="F75" s="93"/>
      <c r="G75" s="37"/>
      <c r="H75" s="94"/>
      <c r="I75" s="117"/>
      <c r="K75" s="128"/>
      <c r="L75" s="38" t="str">
        <f>A73&amp;"{1"&amp;C74&amp;"{2"&amp;G73&amp;"{3"&amp;R74&amp;"{4"&amp;S74&amp;"{5"&amp;R75&amp;"{6"&amp;S75&amp;"{7"&amp;R76&amp;"{8"&amp;S76</f>
        <v>14{1TA0760-D{28000{324070014{48000{5{6{7{8</v>
      </c>
      <c r="M75" s="100"/>
      <c r="O75" s="22" t="s">
        <v>16</v>
      </c>
      <c r="P75" s="32">
        <f>S75/2000</f>
        <v>0</v>
      </c>
      <c r="Q75" s="1" t="s">
        <v>17</v>
      </c>
      <c r="R75" s="39"/>
      <c r="S75" s="40"/>
      <c r="T75" s="2" t="s">
        <v>18</v>
      </c>
      <c r="X75" s="46"/>
    </row>
    <row r="76" spans="1:28" ht="15" customHeight="1">
      <c r="A76" s="101"/>
      <c r="B76" s="102" t="str">
        <f>IF(W73="","","PO.NO.")</f>
        <v>PO.NO.</v>
      </c>
      <c r="C76" s="103" t="str">
        <f>IF(W73="","",X73)</f>
        <v>DMT121156</v>
      </c>
      <c r="D76" s="104" t="str">
        <f>IF(W73="","","(Cable from Bando Lao)")</f>
        <v>(Cable from Bando Lao)</v>
      </c>
      <c r="E76" s="104"/>
      <c r="F76" s="105"/>
      <c r="G76" s="41"/>
      <c r="H76" s="106"/>
      <c r="I76" s="106"/>
      <c r="J76" s="129"/>
      <c r="K76" s="130"/>
      <c r="L76" s="107"/>
      <c r="M76" s="108"/>
      <c r="N76" s="95"/>
      <c r="O76" s="22"/>
      <c r="P76" s="32">
        <f>S76/2000</f>
        <v>0</v>
      </c>
      <c r="Q76" s="1" t="s">
        <v>17</v>
      </c>
      <c r="R76" s="39"/>
      <c r="S76" s="40"/>
      <c r="T76" s="42" t="s">
        <v>18</v>
      </c>
      <c r="U76" s="42"/>
      <c r="V76" s="42"/>
      <c r="W76" s="42"/>
      <c r="X76" s="47"/>
    </row>
    <row r="77" spans="1:28" ht="15" customHeight="1">
      <c r="A77" s="91">
        <f>IF(W77="","",A73+1)</f>
        <v>15</v>
      </c>
      <c r="B77" s="92" t="str">
        <f>IF(W77="","",VLOOKUP(C78,Data!B:C,2,FALSE))</f>
        <v>PVC137</v>
      </c>
      <c r="C77" s="109"/>
      <c r="D77" s="20"/>
      <c r="E77" s="20"/>
      <c r="F77" s="93"/>
      <c r="G77" s="21">
        <f>IF(W77="","",SUM(S78:S80))</f>
        <v>5000</v>
      </c>
      <c r="H77" s="94" t="str">
        <f>IF(W77="","","M.")</f>
        <v>M.</v>
      </c>
      <c r="I77" s="116" t="str">
        <f>IF(W77="","",VLOOKUP(C78,Data!B:E,4,FALSE))</f>
        <v>DMT121157</v>
      </c>
      <c r="J77" s="127">
        <f>IF(W77="","",VLOOKUP(C78,Data!B:F,5,FALSE))</f>
        <v>24070015</v>
      </c>
      <c r="K77" s="116">
        <f>IFERROR(IF(P78="","",J77*(P78+P79+P80)),"")</f>
        <v>60175037.5</v>
      </c>
      <c r="L77" s="134" t="str">
        <f>IF(W77="","","35.0 x 35.0 x 14.0")</f>
        <v>35.0 x 35.0 x 14.0</v>
      </c>
      <c r="M77" s="135"/>
      <c r="N77" s="98"/>
      <c r="O77" s="22" t="s">
        <v>16</v>
      </c>
      <c r="R77" s="23"/>
      <c r="S77" s="24"/>
      <c r="T77" s="25"/>
      <c r="U77" s="25"/>
      <c r="V77" s="25">
        <f>V73+1</f>
        <v>15</v>
      </c>
      <c r="W77" s="48" t="str">
        <f>VLOOKUP(V77,Data!A:B,2,FALSE)</f>
        <v>TA0761-D</v>
      </c>
      <c r="X77" s="27" t="str">
        <f>VLOOKUP(V77,Data!A:F,5,FALSE)</f>
        <v>DMT121157</v>
      </c>
      <c r="Y77" s="2">
        <f>G77/2000</f>
        <v>2.5</v>
      </c>
      <c r="AA77" s="45" t="str">
        <f>AB73+1&amp;IF(Y77=1,"","-"&amp;AB77)</f>
        <v>67-69</v>
      </c>
      <c r="AB77" s="2">
        <f>ROUNDUP(SUM($Y$21:Y77),0)</f>
        <v>69</v>
      </c>
    </row>
    <row r="78" spans="1:28" ht="15" customHeight="1">
      <c r="A78" s="96"/>
      <c r="B78" s="20" t="str">
        <f>IF(W77="","","PART NO :")</f>
        <v>PART NO :</v>
      </c>
      <c r="C78" s="30" t="str">
        <f>IF(W77="","",W77)</f>
        <v>TA0761-D</v>
      </c>
      <c r="D78" s="97"/>
      <c r="E78" s="20" t="str">
        <f>IF(C78="","",", "&amp;VLOOKUP(C78,Data!B:D,3,FALSE))</f>
        <v>, 136N120073B</v>
      </c>
      <c r="F78" s="93"/>
      <c r="G78" s="31" t="str">
        <f>IF(W77="","","(2000 M./BOX)")</f>
        <v>(2000 M./BOX)</v>
      </c>
      <c r="H78" s="94"/>
      <c r="I78" s="117"/>
      <c r="K78" s="116"/>
      <c r="L78" s="132" t="str">
        <f>IF(W77="","","C/N   "&amp;AA77)</f>
        <v>C/N   67-69</v>
      </c>
      <c r="M78" s="133"/>
      <c r="O78" s="22" t="s">
        <v>16</v>
      </c>
      <c r="P78" s="32">
        <f>S78/2000</f>
        <v>2.5</v>
      </c>
      <c r="Q78" s="1" t="s">
        <v>17</v>
      </c>
      <c r="R78" s="33">
        <f>VLOOKUP(V77,Data!A:F,6,FALSE)</f>
        <v>24070015</v>
      </c>
      <c r="S78" s="34">
        <v>5000</v>
      </c>
      <c r="T78" s="2" t="s">
        <v>18</v>
      </c>
      <c r="X78" s="46"/>
      <c r="Y78" s="18"/>
    </row>
    <row r="79" spans="1:28" ht="15" customHeight="1">
      <c r="A79" s="96"/>
      <c r="B79" s="20" t="str">
        <f>IF(W77="","","LOT NO:")</f>
        <v>LOT NO:</v>
      </c>
      <c r="C79" s="99" t="str">
        <f>IF(W77="","",R78&amp;IF(R79="","",","&amp;R79&amp;IF(R80="","",","&amp;R80)))</f>
        <v>24070015</v>
      </c>
      <c r="D79" s="20"/>
      <c r="E79" s="20"/>
      <c r="F79" s="93"/>
      <c r="G79" s="37"/>
      <c r="H79" s="94"/>
      <c r="I79" s="117"/>
      <c r="K79" s="128"/>
      <c r="L79" s="38" t="str">
        <f>A77&amp;"{1"&amp;C78&amp;"{2"&amp;G77&amp;"{3"&amp;R78&amp;"{4"&amp;S78&amp;"{5"&amp;R79&amp;"{6"&amp;S79&amp;"{7"&amp;R80&amp;"{8"&amp;S80</f>
        <v>15{1TA0761-D{25000{324070015{45000{5{6{7{8</v>
      </c>
      <c r="M79" s="100"/>
      <c r="O79" s="22" t="s">
        <v>16</v>
      </c>
      <c r="P79" s="32">
        <f>S79/2000</f>
        <v>0</v>
      </c>
      <c r="Q79" s="1" t="s">
        <v>17</v>
      </c>
      <c r="R79" s="39"/>
      <c r="S79" s="40"/>
      <c r="T79" s="2" t="s">
        <v>18</v>
      </c>
      <c r="X79" s="46"/>
    </row>
    <row r="80" spans="1:28" ht="15" customHeight="1">
      <c r="A80" s="101"/>
      <c r="B80" s="102" t="str">
        <f>IF(W77="","","PO.NO.")</f>
        <v>PO.NO.</v>
      </c>
      <c r="C80" s="103" t="str">
        <f>IF(W77="","",X77)</f>
        <v>DMT121157</v>
      </c>
      <c r="D80" s="104" t="str">
        <f>IF(W77="","","(Cable from Bando Lao)")</f>
        <v>(Cable from Bando Lao)</v>
      </c>
      <c r="E80" s="104"/>
      <c r="F80" s="105"/>
      <c r="G80" s="41"/>
      <c r="H80" s="106"/>
      <c r="I80" s="106"/>
      <c r="J80" s="129"/>
      <c r="K80" s="130"/>
      <c r="L80" s="107"/>
      <c r="M80" s="108"/>
      <c r="N80" s="95"/>
      <c r="O80" s="22"/>
      <c r="P80" s="32">
        <f>S80/2000</f>
        <v>0</v>
      </c>
      <c r="Q80" s="1" t="s">
        <v>17</v>
      </c>
      <c r="R80" s="39"/>
      <c r="S80" s="40"/>
      <c r="T80" s="42" t="s">
        <v>18</v>
      </c>
      <c r="U80" s="42"/>
      <c r="V80" s="42"/>
      <c r="W80" s="42"/>
      <c r="X80" s="47"/>
    </row>
    <row r="81" spans="1:28" ht="15" customHeight="1">
      <c r="A81" s="91">
        <f>IF(W81="","",A77+1)</f>
        <v>16</v>
      </c>
      <c r="B81" s="92" t="str">
        <f>IF(W81="","",VLOOKUP(C82,Data!B:C,2,FALSE))</f>
        <v>PVC138</v>
      </c>
      <c r="C81" s="109"/>
      <c r="D81" s="20"/>
      <c r="E81" s="20"/>
      <c r="F81" s="93"/>
      <c r="G81" s="21">
        <f>IF(W81="","",SUM(S82:S84))</f>
        <v>10000</v>
      </c>
      <c r="H81" s="94" t="str">
        <f>IF(W81="","","M.")</f>
        <v>M.</v>
      </c>
      <c r="I81" s="116" t="str">
        <f>IF(W81="","",VLOOKUP(C82,Data!B:E,4,FALSE))</f>
        <v>DMT121158</v>
      </c>
      <c r="J81" s="127">
        <f>IF(W81="","",VLOOKUP(C82,Data!B:F,5,FALSE))</f>
        <v>24070016</v>
      </c>
      <c r="K81" s="116">
        <f>IFERROR(IF(P82="","",J81*(P82+P83+P84)),"")</f>
        <v>120350080</v>
      </c>
      <c r="L81" s="134" t="str">
        <f>IF(W81="","","35.0 x 35.0 x 14.0")</f>
        <v>35.0 x 35.0 x 14.0</v>
      </c>
      <c r="M81" s="135"/>
      <c r="N81" s="98"/>
      <c r="O81" s="22" t="s">
        <v>16</v>
      </c>
      <c r="R81" s="23"/>
      <c r="S81" s="24"/>
      <c r="T81" s="25"/>
      <c r="U81" s="25"/>
      <c r="V81" s="25">
        <f>V77+1</f>
        <v>16</v>
      </c>
      <c r="W81" s="48" t="str">
        <f>VLOOKUP(V81,Data!A:B,2,FALSE)</f>
        <v>TA0782-B</v>
      </c>
      <c r="X81" s="27" t="str">
        <f>VLOOKUP(V81,Data!A:F,5,FALSE)</f>
        <v>DMT121158</v>
      </c>
      <c r="Y81" s="2">
        <f>G81/2000</f>
        <v>5</v>
      </c>
      <c r="AA81" s="45" t="str">
        <f>AB77+1&amp;IF(Y81=1,"","-"&amp;AB81)</f>
        <v>70-74</v>
      </c>
      <c r="AB81" s="2">
        <f>ROUNDUP(SUM($Y$21:Y81),0)</f>
        <v>74</v>
      </c>
    </row>
    <row r="82" spans="1:28" ht="15" customHeight="1">
      <c r="A82" s="96"/>
      <c r="B82" s="20" t="str">
        <f>IF(W81="","","PART NO :")</f>
        <v>PART NO :</v>
      </c>
      <c r="C82" s="30" t="str">
        <f>IF(W81="","",W81)</f>
        <v>TA0782-B</v>
      </c>
      <c r="D82" s="97"/>
      <c r="E82" s="20" t="str">
        <f>IF(C82="","",", "&amp;VLOOKUP(C82,Data!B:D,3,FALSE))</f>
        <v>, 136N200001B</v>
      </c>
      <c r="F82" s="93"/>
      <c r="G82" s="31" t="str">
        <f>IF(W81="","","(2000 M./BOX)")</f>
        <v>(2000 M./BOX)</v>
      </c>
      <c r="H82" s="94"/>
      <c r="I82" s="117"/>
      <c r="K82" s="116"/>
      <c r="L82" s="132" t="str">
        <f>IF(W81="","","C/N   "&amp;AA81)</f>
        <v>C/N   70-74</v>
      </c>
      <c r="M82" s="133"/>
      <c r="O82" s="22" t="s">
        <v>16</v>
      </c>
      <c r="P82" s="32">
        <f>S82/2000</f>
        <v>5</v>
      </c>
      <c r="Q82" s="1" t="s">
        <v>17</v>
      </c>
      <c r="R82" s="33">
        <f>VLOOKUP(V81,Data!A:F,6,FALSE)</f>
        <v>24070016</v>
      </c>
      <c r="S82" s="34">
        <v>10000</v>
      </c>
      <c r="T82" s="2" t="s">
        <v>18</v>
      </c>
      <c r="X82" s="46"/>
      <c r="Y82" s="18"/>
    </row>
    <row r="83" spans="1:28" ht="15" customHeight="1">
      <c r="A83" s="96"/>
      <c r="B83" s="20" t="str">
        <f>IF(W81="","","LOT NO:")</f>
        <v>LOT NO:</v>
      </c>
      <c r="C83" s="99" t="str">
        <f>IF(W81="","",R82&amp;IF(R83="","",","&amp;R83&amp;IF(R84="","",","&amp;R84)))</f>
        <v>24070016</v>
      </c>
      <c r="D83" s="20"/>
      <c r="E83" s="20"/>
      <c r="F83" s="93"/>
      <c r="G83" s="37"/>
      <c r="H83" s="94"/>
      <c r="I83" s="117"/>
      <c r="K83" s="128"/>
      <c r="L83" s="38" t="str">
        <f>A81&amp;"{1"&amp;C82&amp;"{2"&amp;G81&amp;"{3"&amp;R82&amp;"{4"&amp;S82&amp;"{5"&amp;R83&amp;"{6"&amp;S83&amp;"{7"&amp;R84&amp;"{8"&amp;S84</f>
        <v>16{1TA0782-B{210000{324070016{410000{5{6{7{8</v>
      </c>
      <c r="M83" s="100"/>
      <c r="O83" s="22" t="s">
        <v>16</v>
      </c>
      <c r="P83" s="32">
        <f>S83/2000</f>
        <v>0</v>
      </c>
      <c r="Q83" s="1" t="s">
        <v>17</v>
      </c>
      <c r="R83" s="39"/>
      <c r="S83" s="40"/>
      <c r="T83" s="2" t="s">
        <v>18</v>
      </c>
      <c r="X83" s="46"/>
    </row>
    <row r="84" spans="1:28" ht="15" customHeight="1">
      <c r="A84" s="101"/>
      <c r="B84" s="102" t="str">
        <f>IF(W81="","","PO.NO.")</f>
        <v>PO.NO.</v>
      </c>
      <c r="C84" s="103" t="str">
        <f>IF(W81="","",X81)</f>
        <v>DMT121158</v>
      </c>
      <c r="D84" s="104" t="str">
        <f>IF(W81="","","(Cable from Bando Lao)")</f>
        <v>(Cable from Bando Lao)</v>
      </c>
      <c r="E84" s="104"/>
      <c r="F84" s="105"/>
      <c r="G84" s="41"/>
      <c r="H84" s="106"/>
      <c r="I84" s="106"/>
      <c r="J84" s="129"/>
      <c r="K84" s="130"/>
      <c r="L84" s="107"/>
      <c r="M84" s="108"/>
      <c r="N84" s="95"/>
      <c r="O84" s="22"/>
      <c r="P84" s="32">
        <f>S84/2000</f>
        <v>0</v>
      </c>
      <c r="Q84" s="1" t="s">
        <v>17</v>
      </c>
      <c r="R84" s="39"/>
      <c r="S84" s="40"/>
      <c r="T84" s="42" t="s">
        <v>18</v>
      </c>
      <c r="U84" s="42"/>
      <c r="V84" s="42"/>
      <c r="W84" s="42"/>
      <c r="X84" s="47"/>
    </row>
    <row r="85" spans="1:28" ht="15" customHeight="1">
      <c r="A85" s="91">
        <f>IF(W85="","",A81+1)</f>
        <v>17</v>
      </c>
      <c r="B85" s="92" t="str">
        <f>IF(W85="","",VLOOKUP(C86,Data!B:C,2,FALSE))</f>
        <v>PVC139</v>
      </c>
      <c r="C85" s="109"/>
      <c r="D85" s="20"/>
      <c r="E85" s="20"/>
      <c r="F85" s="93"/>
      <c r="G85" s="21">
        <f>IF(W85="","",SUM(S86:S88))</f>
        <v>5000</v>
      </c>
      <c r="H85" s="94" t="str">
        <f>IF(W85="","","M.")</f>
        <v>M.</v>
      </c>
      <c r="I85" s="116" t="str">
        <f>IF(W85="","",VLOOKUP(C86,Data!B:E,4,FALSE))</f>
        <v>DMT121159</v>
      </c>
      <c r="J85" s="127">
        <f>IF(W85="","",VLOOKUP(C86,Data!B:F,5,FALSE))</f>
        <v>24070017</v>
      </c>
      <c r="K85" s="116">
        <f>IFERROR(IF(P86="","",J85*(P86+P87+P88)),"")</f>
        <v>60175042.5</v>
      </c>
      <c r="L85" s="134" t="str">
        <f>IF(W85="","","35.0 x 35.0 x 14.0")</f>
        <v>35.0 x 35.0 x 14.0</v>
      </c>
      <c r="M85" s="135"/>
      <c r="N85" s="110"/>
      <c r="O85" s="22" t="s">
        <v>16</v>
      </c>
      <c r="R85" s="23"/>
      <c r="S85" s="24"/>
      <c r="T85" s="25"/>
      <c r="U85" s="25"/>
      <c r="V85" s="25">
        <f>V81+1</f>
        <v>17</v>
      </c>
      <c r="W85" s="48" t="str">
        <f>VLOOKUP(V85,Data!A:B,2,FALSE)</f>
        <v>TA0783-B</v>
      </c>
      <c r="X85" s="27" t="str">
        <f>VLOOKUP(V85,Data!A:F,5,FALSE)</f>
        <v>DMT121159</v>
      </c>
      <c r="Y85" s="2">
        <f>G85/2000</f>
        <v>2.5</v>
      </c>
      <c r="AA85" s="45" t="str">
        <f>AB81+1&amp;IF(Y85=1,"","-"&amp;AB85)</f>
        <v>75-76</v>
      </c>
      <c r="AB85" s="2">
        <f>ROUNDUP(SUM($Y$21:Y85),0)</f>
        <v>76</v>
      </c>
    </row>
    <row r="86" spans="1:28" ht="15" customHeight="1">
      <c r="A86" s="96"/>
      <c r="B86" s="20" t="str">
        <f>IF(W85="","","PART NO :")</f>
        <v>PART NO :</v>
      </c>
      <c r="C86" s="30" t="str">
        <f>IF(W85="","",W85)</f>
        <v>TA0783-B</v>
      </c>
      <c r="D86" s="97"/>
      <c r="E86" s="20" t="str">
        <f>IF(C86="","",", "&amp;VLOOKUP(C86,Data!B:D,3,FALSE))</f>
        <v>, CC18023HP124</v>
      </c>
      <c r="F86" s="93"/>
      <c r="G86" s="31" t="str">
        <f>IF(W85="","","(2000 M./BOX)")</f>
        <v>(2000 M./BOX)</v>
      </c>
      <c r="H86" s="94"/>
      <c r="I86" s="117"/>
      <c r="K86" s="116"/>
      <c r="L86" s="132" t="str">
        <f>IF(W85="","","C/N   "&amp;AA85)</f>
        <v>C/N   75-76</v>
      </c>
      <c r="M86" s="133"/>
      <c r="O86" s="22" t="s">
        <v>16</v>
      </c>
      <c r="P86" s="32">
        <f>S86/2000</f>
        <v>2.5</v>
      </c>
      <c r="Q86" s="1" t="s">
        <v>17</v>
      </c>
      <c r="R86" s="33">
        <f>VLOOKUP(V85,Data!A:F,6,FALSE)</f>
        <v>24070017</v>
      </c>
      <c r="S86" s="34">
        <v>5000</v>
      </c>
      <c r="T86" s="2" t="s">
        <v>18</v>
      </c>
      <c r="X86" s="46"/>
      <c r="Y86" s="18"/>
    </row>
    <row r="87" spans="1:28" ht="15" customHeight="1">
      <c r="A87" s="96"/>
      <c r="B87" s="20" t="str">
        <f>IF(W85="","","LOT NO:")</f>
        <v>LOT NO:</v>
      </c>
      <c r="C87" s="99" t="str">
        <f>IF(W85="","",R86&amp;IF(R87="","",","&amp;R87&amp;IF(R88="","",","&amp;R88)))</f>
        <v>24070017</v>
      </c>
      <c r="D87" s="20"/>
      <c r="E87" s="20"/>
      <c r="F87" s="93"/>
      <c r="G87" s="37"/>
      <c r="H87" s="94"/>
      <c r="I87" s="117"/>
      <c r="K87" s="128"/>
      <c r="L87" s="38" t="str">
        <f>A85&amp;"{1"&amp;C86&amp;"{2"&amp;G85&amp;"{3"&amp;R86&amp;"{4"&amp;S86&amp;"{5"&amp;R87&amp;"{6"&amp;S87&amp;"{7"&amp;R88&amp;"{8"&amp;S88</f>
        <v>17{1TA0783-B{25000{324070017{45000{5{6{7{8</v>
      </c>
      <c r="M87" s="100"/>
      <c r="O87" s="22" t="s">
        <v>16</v>
      </c>
      <c r="P87" s="32">
        <f>S87/2000</f>
        <v>0</v>
      </c>
      <c r="Q87" s="1" t="s">
        <v>17</v>
      </c>
      <c r="R87" s="39"/>
      <c r="S87" s="40"/>
      <c r="T87" s="2" t="s">
        <v>18</v>
      </c>
      <c r="X87" s="46"/>
    </row>
    <row r="88" spans="1:28" ht="15" customHeight="1">
      <c r="A88" s="101"/>
      <c r="B88" s="102" t="str">
        <f>IF(W85="","","PO.NO.")</f>
        <v>PO.NO.</v>
      </c>
      <c r="C88" s="103" t="str">
        <f>IF(W85="","",X85)</f>
        <v>DMT121159</v>
      </c>
      <c r="D88" s="104" t="str">
        <f>IF(W85="","","(Cable from Bando Lao)")</f>
        <v>(Cable from Bando Lao)</v>
      </c>
      <c r="E88" s="104"/>
      <c r="F88" s="105"/>
      <c r="G88" s="41"/>
      <c r="H88" s="106"/>
      <c r="I88" s="106"/>
      <c r="J88" s="129"/>
      <c r="K88" s="130"/>
      <c r="L88" s="107"/>
      <c r="M88" s="108"/>
      <c r="N88" s="95"/>
      <c r="O88" s="22"/>
      <c r="P88" s="32">
        <f>S88/2000</f>
        <v>0</v>
      </c>
      <c r="Q88" s="1" t="s">
        <v>17</v>
      </c>
      <c r="R88" s="39"/>
      <c r="S88" s="40"/>
      <c r="T88" s="42" t="s">
        <v>18</v>
      </c>
      <c r="U88" s="42"/>
      <c r="V88" s="42"/>
      <c r="W88" s="42"/>
      <c r="X88" s="47"/>
    </row>
    <row r="89" spans="1:28" ht="15" customHeight="1">
      <c r="A89" s="91">
        <f>IF(W89="","",A85+1)</f>
        <v>18</v>
      </c>
      <c r="B89" s="92" t="str">
        <f>IF(W89="","",VLOOKUP(C90,Data!B:C,2,FALSE))</f>
        <v>PVC140</v>
      </c>
      <c r="C89" s="109"/>
      <c r="D89" s="20"/>
      <c r="E89" s="20"/>
      <c r="F89" s="93"/>
      <c r="G89" s="21">
        <f>IF(W89="","",SUM(S90:S92))</f>
        <v>8000</v>
      </c>
      <c r="H89" s="94" t="str">
        <f>IF(W89="","","M.")</f>
        <v>M.</v>
      </c>
      <c r="I89" s="116" t="str">
        <f>IF(W89="","",VLOOKUP(C90,Data!B:E,4,FALSE))</f>
        <v>DMT121160</v>
      </c>
      <c r="J89" s="127">
        <f>IF(W89="","",VLOOKUP(C90,Data!B:F,5,FALSE))</f>
        <v>24070018</v>
      </c>
      <c r="K89" s="116">
        <f>IFERROR(IF(P90="","",J89*(P90+P91+P92)),"")</f>
        <v>96280072</v>
      </c>
      <c r="L89" s="134" t="str">
        <f>IF(W89="","","35.0 x 35.0 x 14.0")</f>
        <v>35.0 x 35.0 x 14.0</v>
      </c>
      <c r="M89" s="135"/>
      <c r="N89" s="98"/>
      <c r="O89" s="22" t="s">
        <v>16</v>
      </c>
      <c r="R89" s="23"/>
      <c r="S89" s="24"/>
      <c r="T89" s="25"/>
      <c r="U89" s="25"/>
      <c r="V89" s="25">
        <f>V85+1</f>
        <v>18</v>
      </c>
      <c r="W89" s="48" t="str">
        <f>VLOOKUP(V89,Data!A:B,2,FALSE)</f>
        <v>TA0784-B</v>
      </c>
      <c r="X89" s="27" t="str">
        <f>VLOOKUP(V89,Data!A:F,5,FALSE)</f>
        <v>DMT121160</v>
      </c>
      <c r="Y89" s="2">
        <f>G89/2000</f>
        <v>4</v>
      </c>
      <c r="AA89" s="45" t="str">
        <f>AB85+1&amp;IF(Y89=1,"","-"&amp;AB89)</f>
        <v>77-80</v>
      </c>
      <c r="AB89" s="2">
        <f>ROUNDUP(SUM($Y$21:Y89),0)</f>
        <v>80</v>
      </c>
    </row>
    <row r="90" spans="1:28" ht="15" customHeight="1">
      <c r="A90" s="96"/>
      <c r="B90" s="20" t="str">
        <f>IF(W89="","","PART NO :")</f>
        <v>PART NO :</v>
      </c>
      <c r="C90" s="30" t="str">
        <f>IF(W89="","",W89)</f>
        <v>TA0784-B</v>
      </c>
      <c r="D90" s="97"/>
      <c r="E90" s="20" t="str">
        <f>IF(C90="","",", "&amp;VLOOKUP(C90,Data!B:D,3,FALSE))</f>
        <v>, CC18023HP125</v>
      </c>
      <c r="F90" s="93"/>
      <c r="G90" s="31" t="str">
        <f>IF(W89="","","(2000 M./BOX)")</f>
        <v>(2000 M./BOX)</v>
      </c>
      <c r="H90" s="94"/>
      <c r="I90" s="117"/>
      <c r="K90" s="116"/>
      <c r="L90" s="132" t="str">
        <f>IF(W89="","","C/N   "&amp;AA89)</f>
        <v>C/N   77-80</v>
      </c>
      <c r="M90" s="133"/>
      <c r="O90" s="22" t="s">
        <v>16</v>
      </c>
      <c r="P90" s="32">
        <f>S90/2000</f>
        <v>4</v>
      </c>
      <c r="Q90" s="1" t="s">
        <v>17</v>
      </c>
      <c r="R90" s="33">
        <f>VLOOKUP(V89,Data!A:F,6,FALSE)</f>
        <v>24070018</v>
      </c>
      <c r="S90" s="34">
        <v>8000</v>
      </c>
      <c r="T90" s="2" t="s">
        <v>18</v>
      </c>
      <c r="X90" s="46"/>
      <c r="Y90" s="18"/>
    </row>
    <row r="91" spans="1:28" ht="15" customHeight="1">
      <c r="A91" s="96"/>
      <c r="B91" s="20" t="str">
        <f>IF(W89="","","LOT NO:")</f>
        <v>LOT NO:</v>
      </c>
      <c r="C91" s="99" t="str">
        <f>IF(W89="","",R90&amp;IF(R91="","",","&amp;R91&amp;IF(R92="","",","&amp;R92)))</f>
        <v>24070018</v>
      </c>
      <c r="D91" s="20"/>
      <c r="E91" s="20"/>
      <c r="F91" s="93"/>
      <c r="G91" s="37"/>
      <c r="H91" s="94"/>
      <c r="I91" s="117"/>
      <c r="K91" s="128"/>
      <c r="L91" s="38" t="str">
        <f>A89&amp;"{1"&amp;C90&amp;"{2"&amp;G89&amp;"{3"&amp;R90&amp;"{4"&amp;S90&amp;"{5"&amp;R91&amp;"{6"&amp;S91&amp;"{7"&amp;R92&amp;"{8"&amp;S92</f>
        <v>18{1TA0784-B{28000{324070018{48000{5{6{7{8</v>
      </c>
      <c r="M91" s="100"/>
      <c r="O91" s="22" t="s">
        <v>16</v>
      </c>
      <c r="P91" s="32">
        <f>S91/2000</f>
        <v>0</v>
      </c>
      <c r="Q91" s="1" t="s">
        <v>17</v>
      </c>
      <c r="R91" s="39"/>
      <c r="S91" s="40"/>
      <c r="T91" s="2" t="s">
        <v>18</v>
      </c>
      <c r="X91" s="46"/>
    </row>
    <row r="92" spans="1:28" ht="15" customHeight="1">
      <c r="A92" s="101"/>
      <c r="B92" s="102" t="str">
        <f>IF(W89="","","PO.NO.")</f>
        <v>PO.NO.</v>
      </c>
      <c r="C92" s="103" t="str">
        <f>IF(W89="","",X89)</f>
        <v>DMT121160</v>
      </c>
      <c r="D92" s="104" t="str">
        <f>IF(W89="","","(Cable from Bando Lao)")</f>
        <v>(Cable from Bando Lao)</v>
      </c>
      <c r="E92" s="104"/>
      <c r="F92" s="105"/>
      <c r="G92" s="41"/>
      <c r="H92" s="106"/>
      <c r="I92" s="106"/>
      <c r="J92" s="129"/>
      <c r="K92" s="130"/>
      <c r="L92" s="107"/>
      <c r="M92" s="108"/>
      <c r="N92" s="95"/>
      <c r="O92" s="22"/>
      <c r="P92" s="32">
        <f>S92/2000</f>
        <v>0</v>
      </c>
      <c r="Q92" s="1" t="s">
        <v>17</v>
      </c>
      <c r="R92" s="39"/>
      <c r="S92" s="40"/>
      <c r="T92" s="42" t="s">
        <v>18</v>
      </c>
      <c r="U92" s="42"/>
      <c r="V92" s="42"/>
      <c r="W92" s="42"/>
      <c r="X92" s="47"/>
    </row>
    <row r="93" spans="1:28" ht="15" customHeight="1">
      <c r="A93" s="91">
        <f>IF(W93="","",A89+1)</f>
        <v>19</v>
      </c>
      <c r="B93" s="92" t="str">
        <f>IF(W93="","",VLOOKUP(C94,Data!B:C,2,FALSE))</f>
        <v>PVC141</v>
      </c>
      <c r="C93" s="109"/>
      <c r="D93" s="20"/>
      <c r="E93" s="20"/>
      <c r="F93" s="93"/>
      <c r="G93" s="21">
        <f>IF(W93="","",SUM(S94:S96))</f>
        <v>10000</v>
      </c>
      <c r="H93" s="94" t="str">
        <f>IF(W93="","","M.")</f>
        <v>M.</v>
      </c>
      <c r="I93" s="116" t="str">
        <f>IF(W93="","",VLOOKUP(C94,Data!B:E,4,FALSE))</f>
        <v>DMT121161</v>
      </c>
      <c r="J93" s="127">
        <f>IF(W93="","",VLOOKUP(C94,Data!B:F,5,FALSE))</f>
        <v>24070019</v>
      </c>
      <c r="K93" s="116">
        <f>IFERROR(IF(P94="","",J93*(P94+P95+P96)),"")</f>
        <v>120350095</v>
      </c>
      <c r="L93" s="134" t="str">
        <f>IF(W93="","","35.0 x 35.0 x 14.0")</f>
        <v>35.0 x 35.0 x 14.0</v>
      </c>
      <c r="M93" s="135"/>
      <c r="N93" s="98"/>
      <c r="O93" s="22" t="s">
        <v>16</v>
      </c>
      <c r="R93" s="23"/>
      <c r="S93" s="24"/>
      <c r="T93" s="25"/>
      <c r="U93" s="25"/>
      <c r="V93" s="25">
        <f>V89+1</f>
        <v>19</v>
      </c>
      <c r="W93" s="48" t="str">
        <f>VLOOKUP(V93,Data!A:B,2,FALSE)</f>
        <v>TA0793-B</v>
      </c>
      <c r="X93" s="27" t="str">
        <f>VLOOKUP(V93,Data!A:F,5,FALSE)</f>
        <v>DMT121161</v>
      </c>
      <c r="Y93" s="2">
        <f>G93/2000</f>
        <v>5</v>
      </c>
      <c r="AA93" s="45" t="str">
        <f>AB89+1&amp;IF(Y93=1,"","-"&amp;AB93)</f>
        <v>81-85</v>
      </c>
      <c r="AB93" s="2">
        <f>ROUNDUP(SUM($Y$21:Y93),0)</f>
        <v>85</v>
      </c>
    </row>
    <row r="94" spans="1:28" ht="15" customHeight="1">
      <c r="A94" s="96"/>
      <c r="B94" s="20" t="str">
        <f>IF(W93="","","PART NO :")</f>
        <v>PART NO :</v>
      </c>
      <c r="C94" s="30" t="str">
        <f>IF(W93="","",W93)</f>
        <v>TA0793-B</v>
      </c>
      <c r="D94" s="97"/>
      <c r="E94" s="20" t="str">
        <f>IF(C94="","",", "&amp;VLOOKUP(C94,Data!B:D,3,FALSE))</f>
        <v>, CC20251HP135S1</v>
      </c>
      <c r="F94" s="93"/>
      <c r="G94" s="31" t="str">
        <f>IF(W93="","","(2000 M./BOX)")</f>
        <v>(2000 M./BOX)</v>
      </c>
      <c r="H94" s="94"/>
      <c r="I94" s="117"/>
      <c r="K94" s="116"/>
      <c r="L94" s="132" t="str">
        <f>IF(W93="","","C/N   "&amp;AA93)</f>
        <v>C/N   81-85</v>
      </c>
      <c r="M94" s="133"/>
      <c r="O94" s="22" t="s">
        <v>16</v>
      </c>
      <c r="P94" s="32">
        <f>S94/2000</f>
        <v>5</v>
      </c>
      <c r="Q94" s="1" t="s">
        <v>17</v>
      </c>
      <c r="R94" s="33">
        <f>VLOOKUP(V93,Data!A:F,6,FALSE)</f>
        <v>24070019</v>
      </c>
      <c r="S94" s="34">
        <v>10000</v>
      </c>
      <c r="T94" s="2" t="s">
        <v>18</v>
      </c>
      <c r="X94" s="46"/>
      <c r="Y94" s="18"/>
    </row>
    <row r="95" spans="1:28" ht="15" customHeight="1">
      <c r="A95" s="96"/>
      <c r="B95" s="20" t="str">
        <f>IF(W93="","","LOT NO:")</f>
        <v>LOT NO:</v>
      </c>
      <c r="C95" s="99" t="str">
        <f>IF(W93="","",R94&amp;IF(R95="","",","&amp;R95&amp;IF(R96="","",","&amp;R96)))</f>
        <v>24070019</v>
      </c>
      <c r="D95" s="20"/>
      <c r="E95" s="20"/>
      <c r="F95" s="93"/>
      <c r="G95" s="37"/>
      <c r="H95" s="94"/>
      <c r="I95" s="117"/>
      <c r="K95" s="128"/>
      <c r="L95" s="38" t="str">
        <f>A93&amp;"{1"&amp;C94&amp;"{2"&amp;G93&amp;"{3"&amp;R94&amp;"{4"&amp;S94&amp;"{5"&amp;R95&amp;"{6"&amp;S95&amp;"{7"&amp;R96&amp;"{8"&amp;S96</f>
        <v>19{1TA0793-B{210000{324070019{410000{5{6{7{8</v>
      </c>
      <c r="M95" s="100"/>
      <c r="O95" s="22" t="s">
        <v>16</v>
      </c>
      <c r="P95" s="32">
        <f>S95/2000</f>
        <v>0</v>
      </c>
      <c r="Q95" s="1" t="s">
        <v>17</v>
      </c>
      <c r="R95" s="39"/>
      <c r="S95" s="40"/>
      <c r="T95" s="2" t="s">
        <v>18</v>
      </c>
      <c r="X95" s="46"/>
    </row>
    <row r="96" spans="1:28" ht="15" customHeight="1">
      <c r="A96" s="101"/>
      <c r="B96" s="102" t="str">
        <f>IF(W93="","","PO.NO.")</f>
        <v>PO.NO.</v>
      </c>
      <c r="C96" s="103" t="str">
        <f>IF(W93="","",X93)</f>
        <v>DMT121161</v>
      </c>
      <c r="D96" s="104" t="str">
        <f>IF(W93="","","(Cable from Bando Lao)")</f>
        <v>(Cable from Bando Lao)</v>
      </c>
      <c r="E96" s="104"/>
      <c r="F96" s="105"/>
      <c r="G96" s="41"/>
      <c r="H96" s="106"/>
      <c r="I96" s="106"/>
      <c r="J96" s="129"/>
      <c r="K96" s="130"/>
      <c r="L96" s="107"/>
      <c r="M96" s="108"/>
      <c r="N96" s="95"/>
      <c r="O96" s="22"/>
      <c r="P96" s="32">
        <f>S96/2000</f>
        <v>0</v>
      </c>
      <c r="Q96" s="1" t="s">
        <v>17</v>
      </c>
      <c r="R96" s="39"/>
      <c r="S96" s="40"/>
      <c r="T96" s="42" t="s">
        <v>18</v>
      </c>
      <c r="U96" s="42"/>
      <c r="V96" s="42"/>
      <c r="W96" s="42"/>
      <c r="X96" s="47"/>
    </row>
    <row r="97" spans="1:28" ht="15" customHeight="1">
      <c r="A97" s="91">
        <f>IF(W97="","",A93+1)</f>
        <v>20</v>
      </c>
      <c r="B97" s="92" t="str">
        <f>IF(W97="","",VLOOKUP(C98,Data!B:C,2,FALSE))</f>
        <v>PVC142</v>
      </c>
      <c r="C97" s="109"/>
      <c r="D97" s="20"/>
      <c r="E97" s="20"/>
      <c r="F97" s="93"/>
      <c r="G97" s="21">
        <f>IF(W97="","",SUM(S98:S100))</f>
        <v>1000</v>
      </c>
      <c r="H97" s="94" t="str">
        <f>IF(W97="","","M.")</f>
        <v>M.</v>
      </c>
      <c r="I97" s="116" t="str">
        <f>IF(W97="","",VLOOKUP(C98,Data!B:E,4,FALSE))</f>
        <v>DMT121162</v>
      </c>
      <c r="J97" s="127">
        <f>IF(W97="","",VLOOKUP(C98,Data!B:F,5,FALSE))</f>
        <v>24070020</v>
      </c>
      <c r="K97" s="116">
        <f>IFERROR(IF(P98="","",J97*(P98+P99+P100)),"")</f>
        <v>12035010</v>
      </c>
      <c r="L97" s="134" t="str">
        <f>IF(W97="","","35.0 x 35.0 x 14.0")</f>
        <v>35.0 x 35.0 x 14.0</v>
      </c>
      <c r="M97" s="135"/>
      <c r="N97" s="98"/>
      <c r="O97" s="22" t="s">
        <v>16</v>
      </c>
      <c r="R97" s="23"/>
      <c r="S97" s="24"/>
      <c r="T97" s="25"/>
      <c r="U97" s="25"/>
      <c r="V97" s="25">
        <f>V93+1</f>
        <v>20</v>
      </c>
      <c r="W97" s="48" t="str">
        <f>VLOOKUP(V97,Data!A:B,2,FALSE)</f>
        <v>TA0805-B</v>
      </c>
      <c r="X97" s="27" t="str">
        <f>VLOOKUP(V97,Data!A:F,5,FALSE)</f>
        <v>DMT121162</v>
      </c>
      <c r="Y97" s="2">
        <f>G97/2000</f>
        <v>0.5</v>
      </c>
      <c r="AA97" s="45" t="str">
        <f>AB93+1&amp;IF(Y97=1,"","-"&amp;AB97)</f>
        <v>86-86</v>
      </c>
      <c r="AB97" s="2">
        <f>ROUNDUP(SUM($Y$21:Y97),0)</f>
        <v>86</v>
      </c>
    </row>
    <row r="98" spans="1:28" ht="15" customHeight="1">
      <c r="A98" s="96"/>
      <c r="B98" s="20" t="str">
        <f>IF(W97="","","PART NO :")</f>
        <v>PART NO :</v>
      </c>
      <c r="C98" s="30" t="str">
        <f>IF(W97="","",W97)</f>
        <v>TA0805-B</v>
      </c>
      <c r="D98" s="97"/>
      <c r="E98" s="20" t="str">
        <f>IF(C98="","",", "&amp;VLOOKUP(C98,Data!B:D,3,FALSE))</f>
        <v>, CC20251HP136S1</v>
      </c>
      <c r="F98" s="93"/>
      <c r="G98" s="31" t="str">
        <f>IF(W97="","","(2000 M./BOX)")</f>
        <v>(2000 M./BOX)</v>
      </c>
      <c r="H98" s="94"/>
      <c r="I98" s="117"/>
      <c r="K98" s="116"/>
      <c r="L98" s="132" t="str">
        <f>IF(W97="","","C/N   "&amp;AA97)</f>
        <v>C/N   86-86</v>
      </c>
      <c r="M98" s="133"/>
      <c r="O98" s="22" t="s">
        <v>16</v>
      </c>
      <c r="P98" s="32">
        <f>S98/2000</f>
        <v>0.5</v>
      </c>
      <c r="Q98" s="1" t="s">
        <v>17</v>
      </c>
      <c r="R98" s="33">
        <f>VLOOKUP(V97,Data!A:F,6,FALSE)</f>
        <v>24070020</v>
      </c>
      <c r="S98" s="34">
        <v>1000</v>
      </c>
      <c r="T98" s="2" t="s">
        <v>18</v>
      </c>
      <c r="X98" s="46"/>
      <c r="Y98" s="18"/>
    </row>
    <row r="99" spans="1:28" ht="15" customHeight="1">
      <c r="A99" s="96"/>
      <c r="B99" s="20" t="str">
        <f>IF(W97="","","LOT NO:")</f>
        <v>LOT NO:</v>
      </c>
      <c r="C99" s="99" t="str">
        <f>IF(W97="","",R98&amp;IF(R99="","",","&amp;R99&amp;IF(R100="","",","&amp;R100)))</f>
        <v>24070020</v>
      </c>
      <c r="D99" s="20"/>
      <c r="E99" s="20"/>
      <c r="F99" s="93"/>
      <c r="G99" s="37"/>
      <c r="H99" s="94"/>
      <c r="I99" s="117"/>
      <c r="K99" s="128"/>
      <c r="L99" s="38" t="str">
        <f>A97&amp;"{1"&amp;C98&amp;"{2"&amp;G97&amp;"{3"&amp;R98&amp;"{4"&amp;S98&amp;"{5"&amp;R99&amp;"{6"&amp;S99&amp;"{7"&amp;R100&amp;"{8"&amp;S100</f>
        <v>20{1TA0805-B{21000{324070020{41000{5{6{7{8</v>
      </c>
      <c r="M99" s="100"/>
      <c r="O99" s="22" t="s">
        <v>16</v>
      </c>
      <c r="P99" s="32">
        <f>S99/2000</f>
        <v>0</v>
      </c>
      <c r="Q99" s="1" t="s">
        <v>17</v>
      </c>
      <c r="R99" s="39"/>
      <c r="S99" s="40"/>
      <c r="T99" s="2" t="s">
        <v>18</v>
      </c>
      <c r="X99" s="46"/>
    </row>
    <row r="100" spans="1:28" ht="15" customHeight="1">
      <c r="A100" s="101"/>
      <c r="B100" s="102" t="str">
        <f>IF(W97="","","PO.NO.")</f>
        <v>PO.NO.</v>
      </c>
      <c r="C100" s="103" t="str">
        <f>IF(W97="","",X97)</f>
        <v>DMT121162</v>
      </c>
      <c r="D100" s="104" t="str">
        <f>IF(W97="","","(Cable from Bando Lao)")</f>
        <v>(Cable from Bando Lao)</v>
      </c>
      <c r="E100" s="104"/>
      <c r="F100" s="105"/>
      <c r="G100" s="41"/>
      <c r="H100" s="106"/>
      <c r="I100" s="106"/>
      <c r="J100" s="129"/>
      <c r="K100" s="130"/>
      <c r="L100" s="107"/>
      <c r="M100" s="108"/>
      <c r="N100" s="98"/>
      <c r="O100" s="22"/>
      <c r="P100" s="32">
        <f>S100/2000</f>
        <v>0</v>
      </c>
      <c r="Q100" s="1" t="s">
        <v>17</v>
      </c>
      <c r="R100" s="39"/>
      <c r="S100" s="40"/>
      <c r="T100" s="42" t="s">
        <v>18</v>
      </c>
      <c r="U100" s="42"/>
      <c r="V100" s="42"/>
      <c r="W100" s="42"/>
      <c r="X100" s="47"/>
    </row>
    <row r="101" spans="1:28" ht="15" customHeight="1">
      <c r="A101" s="91">
        <f>IF(W101="","",A97+1)</f>
        <v>21</v>
      </c>
      <c r="B101" s="92" t="str">
        <f>IF(W101="","",VLOOKUP(C102,Data!B:C,2,FALSE))</f>
        <v>PVC143</v>
      </c>
      <c r="C101" s="109"/>
      <c r="D101" s="20"/>
      <c r="E101" s="20"/>
      <c r="F101" s="93"/>
      <c r="G101" s="21">
        <f>IF(W101="","",SUM(S102:S104))</f>
        <v>2000</v>
      </c>
      <c r="H101" s="94" t="str">
        <f>IF(W101="","","M.")</f>
        <v>M.</v>
      </c>
      <c r="I101" s="116" t="str">
        <f>IF(W101="","",VLOOKUP(C102,Data!B:E,4,FALSE))</f>
        <v>DMT121163</v>
      </c>
      <c r="J101" s="127">
        <f>IF(W101="","",VLOOKUP(C102,Data!B:F,5,FALSE))</f>
        <v>24070021</v>
      </c>
      <c r="K101" s="116">
        <f>IFERROR(IF(P102="","",J101*(P102+P103+P104)),"")</f>
        <v>24070021</v>
      </c>
      <c r="L101" s="134" t="str">
        <f>IF(W101="","","35.0 x 35.0 x 14.0")</f>
        <v>35.0 x 35.0 x 14.0</v>
      </c>
      <c r="M101" s="135"/>
      <c r="O101" s="22" t="s">
        <v>16</v>
      </c>
      <c r="R101" s="23"/>
      <c r="S101" s="24"/>
      <c r="T101" s="25"/>
      <c r="U101" s="25"/>
      <c r="V101" s="25">
        <f>V97+1</f>
        <v>21</v>
      </c>
      <c r="W101" s="48" t="str">
        <f>VLOOKUP(V101,Data!A:B,2,FALSE)</f>
        <v>TA0809</v>
      </c>
      <c r="X101" s="27" t="str">
        <f>VLOOKUP(V101,Data!A:F,5,FALSE)</f>
        <v>DMT121163</v>
      </c>
      <c r="Y101" s="2">
        <f>G101/2000</f>
        <v>1</v>
      </c>
      <c r="AA101" s="45" t="str">
        <f>AB97+1&amp;IF(Y101=1,"","-"&amp;AB101)</f>
        <v>87</v>
      </c>
      <c r="AB101" s="2">
        <f>ROUNDUP(SUM($Y$21:Y101),0)</f>
        <v>87</v>
      </c>
    </row>
    <row r="102" spans="1:28" ht="15" customHeight="1">
      <c r="A102" s="96"/>
      <c r="B102" s="20" t="str">
        <f>IF(W101="","","PART NO :")</f>
        <v>PART NO :</v>
      </c>
      <c r="C102" s="30" t="str">
        <f>IF(W101="","",W101)</f>
        <v>TA0809</v>
      </c>
      <c r="D102" s="97"/>
      <c r="E102" s="20" t="str">
        <f>IF(C102="","",", "&amp;VLOOKUP(C102,Data!B:D,3,FALSE))</f>
        <v>, CC20251HP138S1</v>
      </c>
      <c r="F102" s="93"/>
      <c r="G102" s="31" t="str">
        <f>IF(W101="","","(2000 M./BOX)")</f>
        <v>(2000 M./BOX)</v>
      </c>
      <c r="H102" s="94"/>
      <c r="I102" s="117"/>
      <c r="K102" s="116"/>
      <c r="L102" s="132" t="str">
        <f>IF(W101="","","C/N   "&amp;AA101)</f>
        <v>C/N   87</v>
      </c>
      <c r="M102" s="133"/>
      <c r="O102" s="22" t="s">
        <v>16</v>
      </c>
      <c r="P102" s="32">
        <f>S102/2000</f>
        <v>0</v>
      </c>
      <c r="Q102" s="1" t="s">
        <v>17</v>
      </c>
      <c r="R102" s="33">
        <f>VLOOKUP(V101,Data!A:F,6,FALSE)</f>
        <v>24070021</v>
      </c>
      <c r="S102" s="34"/>
      <c r="T102" s="2" t="s">
        <v>18</v>
      </c>
      <c r="X102" s="46"/>
      <c r="Y102" s="18"/>
    </row>
    <row r="103" spans="1:28" ht="15" customHeight="1">
      <c r="A103" s="96"/>
      <c r="B103" s="20" t="str">
        <f>IF(W101="","","LOT NO:")</f>
        <v>LOT NO:</v>
      </c>
      <c r="C103" s="99" t="str">
        <f>IF(W101="","",R102&amp;IF(R103="","",","&amp;R103&amp;IF(R104="","",","&amp;R104)))</f>
        <v>24070021</v>
      </c>
      <c r="D103" s="20"/>
      <c r="E103" s="20"/>
      <c r="F103" s="93"/>
      <c r="G103" s="37"/>
      <c r="H103" s="94"/>
      <c r="I103" s="117"/>
      <c r="K103" s="128"/>
      <c r="L103" s="38" t="str">
        <f>A101&amp;"{1"&amp;C102&amp;"{2"&amp;G101&amp;"{3"&amp;R102&amp;"{4"&amp;S102&amp;"{5"&amp;R103&amp;"{6"&amp;S103&amp;"{7"&amp;R104&amp;"{8"&amp;S104</f>
        <v>21{1TA0809{22000{324070021{4{5{62000{7{8</v>
      </c>
      <c r="M103" s="100"/>
      <c r="N103" s="95"/>
      <c r="O103" s="22" t="s">
        <v>16</v>
      </c>
      <c r="P103" s="32">
        <f>S103/2000</f>
        <v>1</v>
      </c>
      <c r="Q103" s="1" t="s">
        <v>17</v>
      </c>
      <c r="R103" s="39"/>
      <c r="S103" s="40">
        <v>2000</v>
      </c>
      <c r="T103" s="2" t="s">
        <v>18</v>
      </c>
      <c r="X103" s="46"/>
    </row>
    <row r="104" spans="1:28" ht="15" customHeight="1">
      <c r="A104" s="101"/>
      <c r="B104" s="102" t="str">
        <f>IF(W101="","","PO.NO.")</f>
        <v>PO.NO.</v>
      </c>
      <c r="C104" s="103" t="str">
        <f>IF(W101="","",X101)</f>
        <v>DMT121163</v>
      </c>
      <c r="D104" s="104" t="str">
        <f>IF(W101="","","(Cable from Bando Lao)")</f>
        <v>(Cable from Bando Lao)</v>
      </c>
      <c r="E104" s="104"/>
      <c r="F104" s="105"/>
      <c r="G104" s="41"/>
      <c r="H104" s="106"/>
      <c r="I104" s="106"/>
      <c r="J104" s="129"/>
      <c r="K104" s="130"/>
      <c r="L104" s="107"/>
      <c r="M104" s="108"/>
      <c r="N104" s="98"/>
      <c r="O104" s="22"/>
      <c r="P104" s="32">
        <f>S104/2000</f>
        <v>0</v>
      </c>
      <c r="Q104" s="1" t="s">
        <v>17</v>
      </c>
      <c r="R104" s="39"/>
      <c r="S104" s="40"/>
      <c r="T104" s="42" t="s">
        <v>18</v>
      </c>
      <c r="U104" s="42"/>
      <c r="V104" s="42"/>
      <c r="W104" s="42"/>
      <c r="X104" s="47"/>
    </row>
    <row r="105" spans="1:28" ht="15" customHeight="1">
      <c r="A105" s="91">
        <f>IF(W105="","",A101+1)</f>
        <v>22</v>
      </c>
      <c r="B105" s="92" t="str">
        <f>IF(W105="","",VLOOKUP(C106,Data!B:C,2,FALSE))</f>
        <v>PVC144</v>
      </c>
      <c r="C105" s="109"/>
      <c r="D105" s="20"/>
      <c r="E105" s="20"/>
      <c r="F105" s="93"/>
      <c r="G105" s="21">
        <f>IF(W105="","",SUM(S106:S108))</f>
        <v>3000</v>
      </c>
      <c r="H105" s="94" t="str">
        <f>IF(W105="","","M.")</f>
        <v>M.</v>
      </c>
      <c r="I105" s="116" t="str">
        <f>IF(W105="","",VLOOKUP(C106,Data!B:E,4,FALSE))</f>
        <v>DMT121164</v>
      </c>
      <c r="J105" s="127">
        <f>IF(W105="","",VLOOKUP(C106,Data!B:F,5,FALSE))</f>
        <v>24070022</v>
      </c>
      <c r="K105" s="116">
        <f>IFERROR(IF(P106="","",J105*(P106+P107+P108)),"")</f>
        <v>36105033</v>
      </c>
      <c r="L105" s="134" t="str">
        <f>IF(W105="","","35.0 x 35.0 x 14.0")</f>
        <v>35.0 x 35.0 x 14.0</v>
      </c>
      <c r="M105" s="135"/>
      <c r="O105" s="22" t="s">
        <v>16</v>
      </c>
      <c r="R105" s="23"/>
      <c r="S105" s="24"/>
      <c r="T105" s="25"/>
      <c r="U105" s="25"/>
      <c r="V105" s="25">
        <f>V101+1</f>
        <v>22</v>
      </c>
      <c r="W105" s="48" t="str">
        <f>VLOOKUP(V105,Data!A:B,2,FALSE)</f>
        <v>TA0908</v>
      </c>
      <c r="X105" s="27" t="str">
        <f>VLOOKUP(V105,Data!A:F,5,FALSE)</f>
        <v>DMT121164</v>
      </c>
      <c r="Y105" s="2">
        <f>G105/2000</f>
        <v>1.5</v>
      </c>
      <c r="AA105" s="45" t="str">
        <f>AB101+1&amp;IF(Y105=1,"","-"&amp;AB105)</f>
        <v>88-88</v>
      </c>
      <c r="AB105" s="2">
        <f>ROUNDUP(SUM($Y$21:Y105),0)</f>
        <v>88</v>
      </c>
    </row>
    <row r="106" spans="1:28" ht="15" customHeight="1">
      <c r="A106" s="96"/>
      <c r="B106" s="20" t="str">
        <f>IF(W105="","","PART NO :")</f>
        <v>PART NO :</v>
      </c>
      <c r="C106" s="30" t="str">
        <f>IF(W105="","",W105)</f>
        <v>TA0908</v>
      </c>
      <c r="D106" s="97"/>
      <c r="E106" s="20" t="str">
        <f>IF(C106="","",", "&amp;VLOOKUP(C106,Data!B:D,3,FALSE))</f>
        <v>, CC20251HP139S1</v>
      </c>
      <c r="F106" s="93"/>
      <c r="G106" s="31" t="str">
        <f>IF(W105="","","(2000 M./BOX)")</f>
        <v>(2000 M./BOX)</v>
      </c>
      <c r="H106" s="94"/>
      <c r="I106" s="117"/>
      <c r="K106" s="116"/>
      <c r="L106" s="132" t="str">
        <f>IF(W105="","","C/N   "&amp;AA105)</f>
        <v>C/N   88-88</v>
      </c>
      <c r="M106" s="133"/>
      <c r="O106" s="22" t="s">
        <v>16</v>
      </c>
      <c r="P106" s="32">
        <f>S106/2000</f>
        <v>1.5</v>
      </c>
      <c r="Q106" s="1" t="s">
        <v>17</v>
      </c>
      <c r="R106" s="33">
        <f>VLOOKUP(V105,Data!A:F,6,FALSE)</f>
        <v>24070022</v>
      </c>
      <c r="S106" s="34">
        <v>3000</v>
      </c>
      <c r="T106" s="2" t="s">
        <v>18</v>
      </c>
      <c r="X106" s="46"/>
      <c r="Y106" s="18"/>
    </row>
    <row r="107" spans="1:28" ht="15" customHeight="1">
      <c r="A107" s="96"/>
      <c r="B107" s="20" t="str">
        <f>IF(W105="","","LOT NO:")</f>
        <v>LOT NO:</v>
      </c>
      <c r="C107" s="99" t="str">
        <f>IF(W105="","",R106&amp;IF(R107="","",","&amp;R107&amp;IF(R108="","",","&amp;R108)))</f>
        <v>24070022</v>
      </c>
      <c r="D107" s="20"/>
      <c r="E107" s="20"/>
      <c r="F107" s="93"/>
      <c r="G107" s="37"/>
      <c r="H107" s="94"/>
      <c r="I107" s="117"/>
      <c r="K107" s="128"/>
      <c r="L107" s="38" t="str">
        <f>A105&amp;"{1"&amp;C106&amp;"{2"&amp;G105&amp;"{3"&amp;R106&amp;"{4"&amp;S106&amp;"{5"&amp;R107&amp;"{6"&amp;S107&amp;"{7"&amp;R108&amp;"{8"&amp;S108</f>
        <v>22{1TA0908{23000{324070022{43000{5{6{7{8</v>
      </c>
      <c r="M107" s="100"/>
      <c r="N107" s="95"/>
      <c r="O107" s="22" t="s">
        <v>16</v>
      </c>
      <c r="P107" s="32">
        <f>S107/2000</f>
        <v>0</v>
      </c>
      <c r="Q107" s="1" t="s">
        <v>17</v>
      </c>
      <c r="R107" s="39"/>
      <c r="S107" s="40"/>
      <c r="T107" s="2" t="s">
        <v>18</v>
      </c>
      <c r="X107" s="46"/>
    </row>
    <row r="108" spans="1:28" ht="15" customHeight="1">
      <c r="A108" s="101"/>
      <c r="B108" s="102" t="str">
        <f>IF(W105="","","PO.NO.")</f>
        <v>PO.NO.</v>
      </c>
      <c r="C108" s="103" t="str">
        <f>IF(W105="","",X105)</f>
        <v>DMT121164</v>
      </c>
      <c r="D108" s="104" t="str">
        <f>IF(W105="","","(Cable from Bando Lao)")</f>
        <v>(Cable from Bando Lao)</v>
      </c>
      <c r="E108" s="104"/>
      <c r="F108" s="105"/>
      <c r="G108" s="41"/>
      <c r="H108" s="106"/>
      <c r="I108" s="106"/>
      <c r="J108" s="129"/>
      <c r="K108" s="130"/>
      <c r="L108" s="107"/>
      <c r="M108" s="108"/>
      <c r="N108" s="98"/>
      <c r="O108" s="22"/>
      <c r="P108" s="32">
        <f>S108/2000</f>
        <v>0</v>
      </c>
      <c r="Q108" s="1" t="s">
        <v>17</v>
      </c>
      <c r="R108" s="39"/>
      <c r="S108" s="40"/>
      <c r="T108" s="42" t="s">
        <v>18</v>
      </c>
      <c r="U108" s="42"/>
      <c r="V108" s="42"/>
      <c r="W108" s="42"/>
      <c r="X108" s="47"/>
    </row>
    <row r="109" spans="1:28" ht="15" customHeight="1">
      <c r="A109" s="91">
        <f>IF(W109="","",A105+1)</f>
        <v>23</v>
      </c>
      <c r="B109" s="92" t="str">
        <f>IF(W109="","",VLOOKUP(C110,Data!B:C,2,FALSE))</f>
        <v>PVC145</v>
      </c>
      <c r="C109" s="109"/>
      <c r="D109" s="20"/>
      <c r="E109" s="20"/>
      <c r="F109" s="93"/>
      <c r="G109" s="21">
        <f>IF(W109="","",SUM(S110:S112))</f>
        <v>5000</v>
      </c>
      <c r="H109" s="94" t="str">
        <f>IF(W109="","","M.")</f>
        <v>M.</v>
      </c>
      <c r="I109" s="116" t="str">
        <f>IF(W109="","",VLOOKUP(C110,Data!B:E,4,FALSE))</f>
        <v>DMT121165</v>
      </c>
      <c r="J109" s="127">
        <f>IF(W109="","",VLOOKUP(C110,Data!B:F,5,FALSE))</f>
        <v>24070023</v>
      </c>
      <c r="K109" s="116">
        <f>IFERROR(IF(P110="","",J109*(P110+P111+P112)),"")</f>
        <v>60175057.5</v>
      </c>
      <c r="L109" s="134" t="str">
        <f>IF(W109="","","35.0 x 35.0 x 14.0")</f>
        <v>35.0 x 35.0 x 14.0</v>
      </c>
      <c r="M109" s="135"/>
      <c r="O109" s="22" t="s">
        <v>16</v>
      </c>
      <c r="R109" s="23"/>
      <c r="S109" s="24"/>
      <c r="T109" s="25"/>
      <c r="U109" s="25"/>
      <c r="V109" s="25">
        <f>V105+1</f>
        <v>23</v>
      </c>
      <c r="W109" s="48" t="str">
        <f>VLOOKUP(V109,Data!A:B,2,FALSE)</f>
        <v>TA0909</v>
      </c>
      <c r="X109" s="27" t="str">
        <f>VLOOKUP(V109,Data!A:F,5,FALSE)</f>
        <v>DMT121165</v>
      </c>
      <c r="Y109" s="2">
        <f>G109/2000</f>
        <v>2.5</v>
      </c>
      <c r="AA109" s="45" t="str">
        <f>AB105+1&amp;IF(Y109=1,"","-"&amp;AB109)</f>
        <v>89-91</v>
      </c>
      <c r="AB109" s="2">
        <f>ROUNDUP(SUM($Y$21:Y109),0)</f>
        <v>91</v>
      </c>
    </row>
    <row r="110" spans="1:28" ht="15" customHeight="1">
      <c r="A110" s="96"/>
      <c r="B110" s="20" t="str">
        <f>IF(W109="","","PART NO :")</f>
        <v>PART NO :</v>
      </c>
      <c r="C110" s="30" t="str">
        <f>IF(W109="","",W109)</f>
        <v>TA0909</v>
      </c>
      <c r="D110" s="97"/>
      <c r="E110" s="20" t="str">
        <f>IF(C110="","",", "&amp;VLOOKUP(C110,Data!B:D,3,FALSE))</f>
        <v>, CC20251HP140S1</v>
      </c>
      <c r="F110" s="93"/>
      <c r="G110" s="31" t="str">
        <f>IF(W109="","","(2000 M./BOX)")</f>
        <v>(2000 M./BOX)</v>
      </c>
      <c r="H110" s="94"/>
      <c r="I110" s="117"/>
      <c r="K110" s="116"/>
      <c r="L110" s="132" t="str">
        <f>IF(W109="","","C/N   "&amp;AA109)</f>
        <v>C/N   89-91</v>
      </c>
      <c r="M110" s="133"/>
      <c r="O110" s="22" t="s">
        <v>16</v>
      </c>
      <c r="P110" s="32">
        <f>S110/2000</f>
        <v>2.5</v>
      </c>
      <c r="Q110" s="1" t="s">
        <v>17</v>
      </c>
      <c r="R110" s="33">
        <f>VLOOKUP(V109,Data!A:F,6,FALSE)</f>
        <v>24070023</v>
      </c>
      <c r="S110" s="34">
        <v>5000</v>
      </c>
      <c r="T110" s="2" t="s">
        <v>18</v>
      </c>
      <c r="X110" s="46"/>
      <c r="Y110" s="18"/>
    </row>
    <row r="111" spans="1:28" ht="15" customHeight="1">
      <c r="A111" s="96"/>
      <c r="B111" s="20" t="str">
        <f>IF(W109="","","LOT NO:")</f>
        <v>LOT NO:</v>
      </c>
      <c r="C111" s="99" t="str">
        <f>IF(W109="","",R110&amp;IF(R111="","",","&amp;R111&amp;IF(R112="","",","&amp;R112)))</f>
        <v>24070023</v>
      </c>
      <c r="D111" s="20"/>
      <c r="E111" s="20"/>
      <c r="F111" s="93"/>
      <c r="G111" s="37"/>
      <c r="H111" s="94"/>
      <c r="I111" s="117"/>
      <c r="K111" s="128"/>
      <c r="L111" s="38" t="str">
        <f>A109&amp;"{1"&amp;C110&amp;"{2"&amp;G109&amp;"{3"&amp;R110&amp;"{4"&amp;S110&amp;"{5"&amp;R111&amp;"{6"&amp;S111&amp;"{7"&amp;R112&amp;"{8"&amp;S112</f>
        <v>23{1TA0909{25000{324070023{45000{5{6{7{8</v>
      </c>
      <c r="M111" s="100"/>
      <c r="N111" s="95"/>
      <c r="O111" s="22" t="s">
        <v>16</v>
      </c>
      <c r="P111" s="32">
        <f>S111/2000</f>
        <v>0</v>
      </c>
      <c r="Q111" s="1" t="s">
        <v>17</v>
      </c>
      <c r="R111" s="39"/>
      <c r="S111" s="40"/>
      <c r="T111" s="2" t="s">
        <v>18</v>
      </c>
      <c r="X111" s="46"/>
    </row>
    <row r="112" spans="1:28" ht="15" customHeight="1">
      <c r="A112" s="101"/>
      <c r="B112" s="102" t="str">
        <f>IF(W109="","","PO.NO.")</f>
        <v>PO.NO.</v>
      </c>
      <c r="C112" s="103" t="str">
        <f>IF(W109="","",X109)</f>
        <v>DMT121165</v>
      </c>
      <c r="D112" s="104" t="str">
        <f>IF(W109="","","(Cable from Bando Lao)")</f>
        <v>(Cable from Bando Lao)</v>
      </c>
      <c r="E112" s="104"/>
      <c r="F112" s="105"/>
      <c r="G112" s="41"/>
      <c r="H112" s="106"/>
      <c r="I112" s="106"/>
      <c r="J112" s="129"/>
      <c r="K112" s="130"/>
      <c r="L112" s="107"/>
      <c r="M112" s="108"/>
      <c r="N112" s="98"/>
      <c r="O112" s="22"/>
      <c r="P112" s="32">
        <f>S112/2000</f>
        <v>0</v>
      </c>
      <c r="Q112" s="1" t="s">
        <v>17</v>
      </c>
      <c r="R112" s="39"/>
      <c r="S112" s="40"/>
      <c r="T112" s="42" t="s">
        <v>18</v>
      </c>
      <c r="U112" s="42"/>
      <c r="V112" s="42"/>
      <c r="W112" s="42"/>
      <c r="X112" s="47"/>
    </row>
    <row r="113" spans="1:28" ht="15" customHeight="1">
      <c r="A113" s="91">
        <f>IF(W113="","",A109+1)</f>
        <v>24</v>
      </c>
      <c r="B113" s="92" t="str">
        <f>IF(W113="","",VLOOKUP(C114,Data!B:C,2,FALSE))</f>
        <v>PVC146</v>
      </c>
      <c r="C113" s="109"/>
      <c r="D113" s="20"/>
      <c r="E113" s="20"/>
      <c r="F113" s="93"/>
      <c r="G113" s="21">
        <f>IF(W113="","",SUM(S114:S116))</f>
        <v>8000</v>
      </c>
      <c r="H113" s="94" t="str">
        <f>IF(W113="","","M.")</f>
        <v>M.</v>
      </c>
      <c r="I113" s="116" t="str">
        <f>IF(W113="","",VLOOKUP(C114,Data!B:E,4,FALSE))</f>
        <v>DMT121166</v>
      </c>
      <c r="J113" s="127">
        <f>IF(W113="","",VLOOKUP(C114,Data!B:F,5,FALSE))</f>
        <v>24070024</v>
      </c>
      <c r="K113" s="116">
        <f>IFERROR(IF(P114="","",J113*(P114+P115+P116)),"")</f>
        <v>96280096</v>
      </c>
      <c r="L113" s="134" t="str">
        <f>IF(W113="","","35.0 x 35.0 x 14.0")</f>
        <v>35.0 x 35.0 x 14.0</v>
      </c>
      <c r="M113" s="135"/>
      <c r="O113" s="22" t="s">
        <v>16</v>
      </c>
      <c r="R113" s="23"/>
      <c r="S113" s="24"/>
      <c r="T113" s="25"/>
      <c r="U113" s="25"/>
      <c r="V113" s="25">
        <f>V109+1</f>
        <v>24</v>
      </c>
      <c r="W113" s="48" t="str">
        <f>VLOOKUP(V113,Data!A:B,2,FALSE)</f>
        <v>TA0910</v>
      </c>
      <c r="X113" s="27" t="str">
        <f>VLOOKUP(V113,Data!A:F,5,FALSE)</f>
        <v>DMT121166</v>
      </c>
      <c r="Y113" s="2">
        <f>G113/2000</f>
        <v>4</v>
      </c>
      <c r="AA113" s="45" t="str">
        <f>AB109+1&amp;IF(Y113=1,"","-"&amp;AB113)</f>
        <v>92-95</v>
      </c>
      <c r="AB113" s="2">
        <f>ROUNDUP(SUM($Y$21:Y113),0)</f>
        <v>95</v>
      </c>
    </row>
    <row r="114" spans="1:28" ht="15" customHeight="1">
      <c r="A114" s="96"/>
      <c r="B114" s="20" t="str">
        <f>IF(W113="","","PART NO :")</f>
        <v>PART NO :</v>
      </c>
      <c r="C114" s="30" t="str">
        <f>IF(W113="","",W113)</f>
        <v>TA0910</v>
      </c>
      <c r="D114" s="97"/>
      <c r="E114" s="20" t="str">
        <f>IF(C114="","",", "&amp;VLOOKUP(C114,Data!B:D,3,FALSE))</f>
        <v>, CC20251HP141S1</v>
      </c>
      <c r="F114" s="93"/>
      <c r="G114" s="31" t="str">
        <f>IF(W113="","","(2000 M./BOX)")</f>
        <v>(2000 M./BOX)</v>
      </c>
      <c r="H114" s="94"/>
      <c r="I114" s="117"/>
      <c r="K114" s="116"/>
      <c r="L114" s="132" t="str">
        <f>IF(W113="","","C/N   "&amp;AA113)</f>
        <v>C/N   92-95</v>
      </c>
      <c r="M114" s="133"/>
      <c r="O114" s="22" t="s">
        <v>16</v>
      </c>
      <c r="P114" s="32">
        <f>S114/2000</f>
        <v>4</v>
      </c>
      <c r="Q114" s="1" t="s">
        <v>17</v>
      </c>
      <c r="R114" s="33">
        <f>VLOOKUP(V113,Data!A:F,6,FALSE)</f>
        <v>24070024</v>
      </c>
      <c r="S114" s="34">
        <v>8000</v>
      </c>
      <c r="T114" s="2" t="s">
        <v>18</v>
      </c>
      <c r="X114" s="46"/>
      <c r="Y114" s="18"/>
    </row>
    <row r="115" spans="1:28" ht="15" customHeight="1">
      <c r="A115" s="96"/>
      <c r="B115" s="20" t="str">
        <f>IF(W113="","","LOT NO:")</f>
        <v>LOT NO:</v>
      </c>
      <c r="C115" s="99" t="str">
        <f>IF(W113="","",R114&amp;IF(R115="","",","&amp;R115&amp;IF(R116="","",","&amp;R116)))</f>
        <v>24070024</v>
      </c>
      <c r="D115" s="20"/>
      <c r="E115" s="20"/>
      <c r="F115" s="93"/>
      <c r="G115" s="37"/>
      <c r="H115" s="94"/>
      <c r="I115" s="117"/>
      <c r="K115" s="128"/>
      <c r="L115" s="38" t="str">
        <f>A113&amp;"{1"&amp;C114&amp;"{2"&amp;G113&amp;"{3"&amp;R114&amp;"{4"&amp;S114&amp;"{5"&amp;R115&amp;"{6"&amp;S115&amp;"{7"&amp;R116&amp;"{8"&amp;S116</f>
        <v>24{1TA0910{28000{324070024{48000{5{6{7{8</v>
      </c>
      <c r="M115" s="100"/>
      <c r="N115" s="95"/>
      <c r="O115" s="22" t="s">
        <v>16</v>
      </c>
      <c r="P115" s="32">
        <f>S115/2000</f>
        <v>0</v>
      </c>
      <c r="Q115" s="1" t="s">
        <v>17</v>
      </c>
      <c r="R115" s="39"/>
      <c r="S115" s="40"/>
      <c r="T115" s="2" t="s">
        <v>18</v>
      </c>
      <c r="X115" s="46"/>
    </row>
    <row r="116" spans="1:28" ht="15" customHeight="1">
      <c r="A116" s="101"/>
      <c r="B116" s="102" t="str">
        <f>IF(W113="","","PO.NO.")</f>
        <v>PO.NO.</v>
      </c>
      <c r="C116" s="103" t="str">
        <f>IF(W113="","",X113)</f>
        <v>DMT121166</v>
      </c>
      <c r="D116" s="104" t="str">
        <f>IF(W113="","","(Cable from Bando Lao)")</f>
        <v>(Cable from Bando Lao)</v>
      </c>
      <c r="E116" s="104"/>
      <c r="F116" s="105"/>
      <c r="G116" s="41"/>
      <c r="H116" s="106"/>
      <c r="I116" s="106"/>
      <c r="J116" s="129"/>
      <c r="K116" s="130"/>
      <c r="L116" s="107"/>
      <c r="M116" s="108"/>
      <c r="N116" s="98"/>
      <c r="O116" s="22"/>
      <c r="P116" s="32">
        <f>S116/2000</f>
        <v>0</v>
      </c>
      <c r="Q116" s="1" t="s">
        <v>17</v>
      </c>
      <c r="R116" s="39"/>
      <c r="S116" s="40"/>
      <c r="T116" s="42" t="s">
        <v>18</v>
      </c>
      <c r="U116" s="42"/>
      <c r="V116" s="42"/>
      <c r="W116" s="42"/>
      <c r="X116" s="47"/>
    </row>
    <row r="117" spans="1:28" ht="15" customHeight="1">
      <c r="A117" s="91">
        <f>IF(W117="","",A113+1)</f>
        <v>25</v>
      </c>
      <c r="B117" s="92" t="str">
        <f>IF(W117="","",VLOOKUP(C118,Data!B:C,2,FALSE))</f>
        <v>PVC147</v>
      </c>
      <c r="C117" s="109"/>
      <c r="D117" s="20"/>
      <c r="E117" s="20"/>
      <c r="F117" s="93"/>
      <c r="G117" s="21">
        <f>IF(W117="","",SUM(S118:S120))</f>
        <v>10000</v>
      </c>
      <c r="H117" s="94" t="str">
        <f>IF(W117="","","M.")</f>
        <v>M.</v>
      </c>
      <c r="I117" s="116" t="str">
        <f>IF(W117="","",VLOOKUP(C118,Data!B:E,4,FALSE))</f>
        <v>DMT121167</v>
      </c>
      <c r="J117" s="127">
        <f>IF(W117="","",VLOOKUP(C118,Data!B:F,5,FALSE))</f>
        <v>24070025</v>
      </c>
      <c r="K117" s="116">
        <f>IFERROR(IF(P118="","",J117*(P118+P119+P120)),"")</f>
        <v>120350125</v>
      </c>
      <c r="L117" s="134" t="str">
        <f>IF(W117="","","35.0 x 35.0 x 14.0")</f>
        <v>35.0 x 35.0 x 14.0</v>
      </c>
      <c r="M117" s="135"/>
      <c r="O117" s="22" t="s">
        <v>16</v>
      </c>
      <c r="R117" s="23"/>
      <c r="S117" s="24"/>
      <c r="T117" s="25"/>
      <c r="U117" s="25"/>
      <c r="V117" s="25">
        <f>V113+1</f>
        <v>25</v>
      </c>
      <c r="W117" s="48" t="str">
        <f>VLOOKUP(V117,Data!A:B,2,FALSE)</f>
        <v>TA0951-B</v>
      </c>
      <c r="X117" s="27" t="str">
        <f>VLOOKUP(V117,Data!A:F,5,FALSE)</f>
        <v>DMT121167</v>
      </c>
      <c r="Y117" s="2">
        <f>G117/2000</f>
        <v>5</v>
      </c>
      <c r="AA117" s="45" t="str">
        <f>AB113+1&amp;IF(Y117=1,"","-"&amp;AB117)</f>
        <v>96-100</v>
      </c>
      <c r="AB117" s="2">
        <f>ROUNDUP(SUM($Y$21:Y117),0)</f>
        <v>100</v>
      </c>
    </row>
    <row r="118" spans="1:28" ht="15" customHeight="1">
      <c r="A118" s="96"/>
      <c r="B118" s="20" t="str">
        <f>IF(W117="","","PART NO :")</f>
        <v>PART NO :</v>
      </c>
      <c r="C118" s="30" t="str">
        <f>IF(W117="","",W117)</f>
        <v>TA0951-B</v>
      </c>
      <c r="D118" s="97"/>
      <c r="E118" s="20" t="str">
        <f>IF(C118="","",", "&amp;VLOOKUP(C118,Data!B:D,3,FALSE))</f>
        <v>, CC20251HP142S1</v>
      </c>
      <c r="F118" s="93"/>
      <c r="G118" s="31" t="str">
        <f>IF(W117="","","(2000 M./BOX)")</f>
        <v>(2000 M./BOX)</v>
      </c>
      <c r="H118" s="94"/>
      <c r="I118" s="117"/>
      <c r="K118" s="116"/>
      <c r="L118" s="132" t="str">
        <f>IF(W117="","","C/N   "&amp;AA117)</f>
        <v>C/N   96-100</v>
      </c>
      <c r="M118" s="133"/>
      <c r="O118" s="22" t="s">
        <v>16</v>
      </c>
      <c r="P118" s="32">
        <f>S118/2000</f>
        <v>5</v>
      </c>
      <c r="Q118" s="1" t="s">
        <v>17</v>
      </c>
      <c r="R118" s="33">
        <f>VLOOKUP(V117,Data!A:F,6,FALSE)</f>
        <v>24070025</v>
      </c>
      <c r="S118" s="34">
        <v>10000</v>
      </c>
      <c r="T118" s="2" t="s">
        <v>18</v>
      </c>
      <c r="X118" s="46"/>
      <c r="Y118" s="18"/>
    </row>
    <row r="119" spans="1:28" ht="15" customHeight="1">
      <c r="A119" s="96"/>
      <c r="B119" s="20" t="str">
        <f>IF(W117="","","LOT NO:")</f>
        <v>LOT NO:</v>
      </c>
      <c r="C119" s="99" t="str">
        <f>IF(W117="","",R118&amp;IF(R119="","",","&amp;R119&amp;IF(R120="","",","&amp;R120)))</f>
        <v>24070025</v>
      </c>
      <c r="D119" s="20"/>
      <c r="E119" s="20"/>
      <c r="F119" s="93"/>
      <c r="G119" s="37"/>
      <c r="H119" s="94"/>
      <c r="I119" s="117"/>
      <c r="K119" s="128"/>
      <c r="L119" s="38" t="str">
        <f>A117&amp;"{1"&amp;C118&amp;"{2"&amp;G117&amp;"{3"&amp;R118&amp;"{4"&amp;S118&amp;"{5"&amp;R119&amp;"{6"&amp;S119&amp;"{7"&amp;R120&amp;"{8"&amp;S120</f>
        <v>25{1TA0951-B{210000{324070025{410000{5{6{7{8</v>
      </c>
      <c r="M119" s="100"/>
      <c r="N119" s="95"/>
      <c r="O119" s="22" t="s">
        <v>16</v>
      </c>
      <c r="P119" s="32">
        <f>S119/2000</f>
        <v>0</v>
      </c>
      <c r="Q119" s="1" t="s">
        <v>17</v>
      </c>
      <c r="R119" s="39"/>
      <c r="S119" s="40"/>
      <c r="T119" s="2" t="s">
        <v>18</v>
      </c>
      <c r="X119" s="46"/>
    </row>
    <row r="120" spans="1:28" ht="15" customHeight="1">
      <c r="A120" s="101"/>
      <c r="B120" s="102" t="str">
        <f>IF(W117="","","PO.NO.")</f>
        <v>PO.NO.</v>
      </c>
      <c r="C120" s="103" t="str">
        <f>IF(W117="","",X117)</f>
        <v>DMT121167</v>
      </c>
      <c r="D120" s="104" t="str">
        <f>IF(W117="","","(Cable from Bando Lao)")</f>
        <v>(Cable from Bando Lao)</v>
      </c>
      <c r="E120" s="104"/>
      <c r="F120" s="105"/>
      <c r="G120" s="41"/>
      <c r="H120" s="106"/>
      <c r="I120" s="106"/>
      <c r="J120" s="129"/>
      <c r="K120" s="130"/>
      <c r="L120" s="107"/>
      <c r="M120" s="108"/>
      <c r="N120" s="98"/>
      <c r="O120" s="22"/>
      <c r="P120" s="32">
        <f>S120/2000</f>
        <v>0</v>
      </c>
      <c r="Q120" s="1" t="s">
        <v>17</v>
      </c>
      <c r="R120" s="39"/>
      <c r="S120" s="40"/>
      <c r="T120" s="42" t="s">
        <v>18</v>
      </c>
      <c r="U120" s="42"/>
      <c r="V120" s="42"/>
      <c r="W120" s="42"/>
      <c r="X120" s="47"/>
    </row>
    <row r="121" spans="1:28" ht="15" customHeight="1">
      <c r="A121" s="91">
        <f>IF(W121="","",A117+1)</f>
        <v>26</v>
      </c>
      <c r="B121" s="92" t="str">
        <f>IF(W121="","",VLOOKUP(C122,Data!B:C,2,FALSE))</f>
        <v>PVC148</v>
      </c>
      <c r="C121" s="109"/>
      <c r="D121" s="20"/>
      <c r="E121" s="20"/>
      <c r="F121" s="93"/>
      <c r="G121" s="21">
        <f>IF(W121="","",SUM(S122:S124))</f>
        <v>5000</v>
      </c>
      <c r="H121" s="94" t="str">
        <f>IF(W121="","","M.")</f>
        <v>M.</v>
      </c>
      <c r="I121" s="116" t="str">
        <f>IF(W121="","",VLOOKUP(C122,Data!B:E,4,FALSE))</f>
        <v>DMT121168</v>
      </c>
      <c r="J121" s="127">
        <f>IF(W121="","",VLOOKUP(C122,Data!B:F,5,FALSE))</f>
        <v>24070026</v>
      </c>
      <c r="K121" s="116">
        <f>IFERROR(IF(P122="","",J121*(P122+P123+P124)),"")</f>
        <v>60175065</v>
      </c>
      <c r="L121" s="134" t="str">
        <f>IF(W121="","","35.0 x 35.0 x 14.0")</f>
        <v>35.0 x 35.0 x 14.0</v>
      </c>
      <c r="M121" s="135"/>
      <c r="O121" s="22" t="s">
        <v>16</v>
      </c>
      <c r="R121" s="23"/>
      <c r="S121" s="24"/>
      <c r="T121" s="25"/>
      <c r="U121" s="25"/>
      <c r="V121" s="25">
        <f>V117+1</f>
        <v>26</v>
      </c>
      <c r="W121" s="48" t="str">
        <f>VLOOKUP(V121,Data!A:B,2,FALSE)</f>
        <v>TA0952-B</v>
      </c>
      <c r="X121" s="27" t="str">
        <f>VLOOKUP(V121,Data!A:F,5,FALSE)</f>
        <v>DMT121168</v>
      </c>
      <c r="Y121" s="2">
        <f>G121/2000</f>
        <v>2.5</v>
      </c>
      <c r="AA121" s="45" t="str">
        <f>AB117+1&amp;IF(Y121=1,"","-"&amp;AB121)</f>
        <v>101-102</v>
      </c>
      <c r="AB121" s="2">
        <f>ROUNDUP(SUM($Y$21:Y121),0)</f>
        <v>102</v>
      </c>
    </row>
    <row r="122" spans="1:28" ht="15" customHeight="1">
      <c r="A122" s="96"/>
      <c r="B122" s="20" t="str">
        <f>IF(W121="","","PART NO :")</f>
        <v>PART NO :</v>
      </c>
      <c r="C122" s="30" t="str">
        <f>IF(W121="","",W121)</f>
        <v>TA0952-B</v>
      </c>
      <c r="D122" s="97"/>
      <c r="E122" s="20" t="str">
        <f>IF(C122="","",", "&amp;VLOOKUP(C122,Data!B:D,3,FALSE))</f>
        <v>, CC18054HP104</v>
      </c>
      <c r="F122" s="93"/>
      <c r="G122" s="31" t="str">
        <f>IF(W121="","","(2000 M./BOX)")</f>
        <v>(2000 M./BOX)</v>
      </c>
      <c r="H122" s="94"/>
      <c r="I122" s="117"/>
      <c r="K122" s="116"/>
      <c r="L122" s="132" t="str">
        <f>IF(W121="","","C/N   "&amp;AA121)</f>
        <v>C/N   101-102</v>
      </c>
      <c r="M122" s="133"/>
      <c r="O122" s="22" t="s">
        <v>16</v>
      </c>
      <c r="P122" s="32">
        <f>S122/2000</f>
        <v>2.5</v>
      </c>
      <c r="Q122" s="1" t="s">
        <v>17</v>
      </c>
      <c r="R122" s="33">
        <f>VLOOKUP(V121,Data!A:F,6,FALSE)</f>
        <v>24070026</v>
      </c>
      <c r="S122" s="34">
        <v>5000</v>
      </c>
      <c r="T122" s="2" t="s">
        <v>18</v>
      </c>
      <c r="X122" s="46"/>
      <c r="Y122" s="18"/>
    </row>
    <row r="123" spans="1:28" ht="15" customHeight="1">
      <c r="A123" s="96"/>
      <c r="B123" s="20" t="str">
        <f>IF(W121="","","LOT NO:")</f>
        <v>LOT NO:</v>
      </c>
      <c r="C123" s="99" t="str">
        <f>IF(W121="","",R122&amp;IF(R123="","",","&amp;R123&amp;IF(R124="","",","&amp;R124)))</f>
        <v>24070026</v>
      </c>
      <c r="D123" s="20"/>
      <c r="E123" s="20"/>
      <c r="F123" s="93"/>
      <c r="G123" s="37"/>
      <c r="H123" s="94"/>
      <c r="I123" s="117"/>
      <c r="K123" s="128"/>
      <c r="L123" s="38" t="str">
        <f>A121&amp;"{1"&amp;C122&amp;"{2"&amp;G121&amp;"{3"&amp;R122&amp;"{4"&amp;S122&amp;"{5"&amp;R123&amp;"{6"&amp;S123&amp;"{7"&amp;R124&amp;"{8"&amp;S124</f>
        <v>26{1TA0952-B{25000{324070026{45000{5{6{7{8</v>
      </c>
      <c r="M123" s="100"/>
      <c r="N123" s="95"/>
      <c r="O123" s="22" t="s">
        <v>16</v>
      </c>
      <c r="P123" s="32">
        <f>S123/2000</f>
        <v>0</v>
      </c>
      <c r="Q123" s="1" t="s">
        <v>17</v>
      </c>
      <c r="R123" s="39"/>
      <c r="S123" s="40"/>
      <c r="T123" s="2" t="s">
        <v>18</v>
      </c>
      <c r="X123" s="46"/>
    </row>
    <row r="124" spans="1:28" ht="15" customHeight="1">
      <c r="A124" s="101"/>
      <c r="B124" s="102" t="str">
        <f>IF(W121="","","PO.NO.")</f>
        <v>PO.NO.</v>
      </c>
      <c r="C124" s="103" t="str">
        <f>IF(W121="","",X121)</f>
        <v>DMT121168</v>
      </c>
      <c r="D124" s="104" t="str">
        <f>IF(W121="","","(Cable from Bando Lao)")</f>
        <v>(Cable from Bando Lao)</v>
      </c>
      <c r="E124" s="104"/>
      <c r="F124" s="105"/>
      <c r="G124" s="41"/>
      <c r="H124" s="106"/>
      <c r="I124" s="106"/>
      <c r="J124" s="129"/>
      <c r="K124" s="130"/>
      <c r="L124" s="107"/>
      <c r="M124" s="108"/>
      <c r="N124" s="110"/>
      <c r="O124" s="22"/>
      <c r="P124" s="32">
        <f>S124/2000</f>
        <v>0</v>
      </c>
      <c r="Q124" s="1" t="s">
        <v>17</v>
      </c>
      <c r="R124" s="39"/>
      <c r="S124" s="40"/>
      <c r="T124" s="42" t="s">
        <v>18</v>
      </c>
      <c r="U124" s="42"/>
      <c r="V124" s="42"/>
      <c r="W124" s="42"/>
      <c r="X124" s="47"/>
    </row>
    <row r="125" spans="1:28" ht="15" customHeight="1">
      <c r="A125" s="91">
        <f>IF(W125="","",A121+1)</f>
        <v>27</v>
      </c>
      <c r="B125" s="92" t="str">
        <f>IF(W125="","",VLOOKUP(C126,Data!B:C,2,FALSE))</f>
        <v>PVC149</v>
      </c>
      <c r="C125" s="109"/>
      <c r="D125" s="20"/>
      <c r="E125" s="20"/>
      <c r="F125" s="93"/>
      <c r="G125" s="21">
        <f>IF(W125="","",SUM(S126:S128))</f>
        <v>20000</v>
      </c>
      <c r="H125" s="94" t="str">
        <f>IF(W125="","","M.")</f>
        <v>M.</v>
      </c>
      <c r="I125" s="116" t="str">
        <f>IF(W125="","",VLOOKUP(C126,Data!B:E,4,FALSE))</f>
        <v>DMT121169</v>
      </c>
      <c r="J125" s="127">
        <f>IF(W125="","",VLOOKUP(C126,Data!B:F,5,FALSE))</f>
        <v>24070027</v>
      </c>
      <c r="K125" s="116">
        <f>IFERROR(IF(P126="","",J125*(P126+P127+P128)),"")</f>
        <v>240700270</v>
      </c>
      <c r="L125" s="134" t="str">
        <f>IF(W125="","","35.0 x 35.0 x 14.0")</f>
        <v>35.0 x 35.0 x 14.0</v>
      </c>
      <c r="M125" s="135"/>
      <c r="O125" s="22" t="s">
        <v>16</v>
      </c>
      <c r="R125" s="23"/>
      <c r="S125" s="24"/>
      <c r="T125" s="25"/>
      <c r="U125" s="25"/>
      <c r="V125" s="25">
        <f>V121+1</f>
        <v>27</v>
      </c>
      <c r="W125" s="48" t="str">
        <f>VLOOKUP(V125,Data!A:B,2,FALSE)</f>
        <v>TA0974</v>
      </c>
      <c r="X125" s="27" t="str">
        <f>VLOOKUP(V125,Data!A:F,5,FALSE)</f>
        <v>DMT121169</v>
      </c>
      <c r="Y125" s="2">
        <f>G125/2000</f>
        <v>10</v>
      </c>
      <c r="AA125" s="45" t="str">
        <f>AB121+1&amp;IF(Y125=1,"","-"&amp;AB125)</f>
        <v>103-112</v>
      </c>
      <c r="AB125" s="2">
        <f>ROUNDUP(SUM($Y$21:Y125),0)</f>
        <v>112</v>
      </c>
    </row>
    <row r="126" spans="1:28" ht="15" customHeight="1">
      <c r="A126" s="96"/>
      <c r="B126" s="20" t="str">
        <f>IF(W125="","","PART NO :")</f>
        <v>PART NO :</v>
      </c>
      <c r="C126" s="30" t="str">
        <f>IF(W125="","",W125)</f>
        <v>TA0974</v>
      </c>
      <c r="D126" s="97"/>
      <c r="E126" s="20" t="str">
        <f>IF(C126="","",", "&amp;VLOOKUP(C126,Data!B:D,3,FALSE))</f>
        <v>, CC18054HP105</v>
      </c>
      <c r="F126" s="93"/>
      <c r="G126" s="31" t="str">
        <f>IF(W125="","","(2000 M./BOX)")</f>
        <v>(2000 M./BOX)</v>
      </c>
      <c r="H126" s="94"/>
      <c r="I126" s="117"/>
      <c r="K126" s="116"/>
      <c r="L126" s="132" t="str">
        <f>IF(W125="","","C/N   "&amp;AA125)</f>
        <v>C/N   103-112</v>
      </c>
      <c r="M126" s="133"/>
      <c r="O126" s="22" t="s">
        <v>16</v>
      </c>
      <c r="P126" s="32">
        <f>S126/2000</f>
        <v>10</v>
      </c>
      <c r="Q126" s="1" t="s">
        <v>17</v>
      </c>
      <c r="R126" s="33">
        <f>VLOOKUP(V125,Data!A:F,6,FALSE)</f>
        <v>24070027</v>
      </c>
      <c r="S126" s="34">
        <v>20000</v>
      </c>
      <c r="T126" s="2" t="s">
        <v>18</v>
      </c>
      <c r="X126" s="46"/>
      <c r="Y126" s="18"/>
    </row>
    <row r="127" spans="1:28" ht="15" customHeight="1">
      <c r="A127" s="96"/>
      <c r="B127" s="20" t="str">
        <f>IF(W125="","","LOT NO:")</f>
        <v>LOT NO:</v>
      </c>
      <c r="C127" s="99" t="str">
        <f>IF(W125="","",R126&amp;IF(R127="","",","&amp;R127&amp;IF(R128="","",","&amp;R128)))</f>
        <v>24070027</v>
      </c>
      <c r="D127" s="20"/>
      <c r="E127" s="20"/>
      <c r="F127" s="93"/>
      <c r="G127" s="37"/>
      <c r="H127" s="94"/>
      <c r="I127" s="117"/>
      <c r="K127" s="128"/>
      <c r="L127" s="38" t="str">
        <f>A125&amp;"{1"&amp;C126&amp;"{2"&amp;G125&amp;"{3"&amp;R126&amp;"{4"&amp;S126&amp;"{5"&amp;R127&amp;"{6"&amp;S127&amp;"{7"&amp;R128&amp;"{8"&amp;S128</f>
        <v>27{1TA0974{220000{324070027{420000{5{6{7{8</v>
      </c>
      <c r="M127" s="100"/>
      <c r="N127" s="95"/>
      <c r="O127" s="22" t="s">
        <v>16</v>
      </c>
      <c r="P127" s="32">
        <f>S127/2000</f>
        <v>0</v>
      </c>
      <c r="Q127" s="1" t="s">
        <v>17</v>
      </c>
      <c r="R127" s="39"/>
      <c r="S127" s="40"/>
      <c r="T127" s="2" t="s">
        <v>18</v>
      </c>
      <c r="X127" s="46"/>
    </row>
    <row r="128" spans="1:28" ht="15" customHeight="1">
      <c r="A128" s="101"/>
      <c r="B128" s="102" t="str">
        <f>IF(W125="","","PO.NO.")</f>
        <v>PO.NO.</v>
      </c>
      <c r="C128" s="103" t="str">
        <f>IF(W125="","",X125)</f>
        <v>DMT121169</v>
      </c>
      <c r="D128" s="104" t="str">
        <f>IF(W125="","","(Cable from Bando Lao)")</f>
        <v>(Cable from Bando Lao)</v>
      </c>
      <c r="E128" s="104"/>
      <c r="F128" s="105"/>
      <c r="G128" s="41"/>
      <c r="H128" s="106"/>
      <c r="I128" s="106"/>
      <c r="J128" s="129"/>
      <c r="K128" s="130"/>
      <c r="L128" s="107"/>
      <c r="M128" s="108"/>
      <c r="N128" s="98"/>
      <c r="O128" s="22"/>
      <c r="P128" s="32">
        <f>S128/2000</f>
        <v>0</v>
      </c>
      <c r="Q128" s="1" t="s">
        <v>17</v>
      </c>
      <c r="R128" s="39"/>
      <c r="S128" s="40"/>
      <c r="T128" s="42" t="s">
        <v>18</v>
      </c>
      <c r="U128" s="42"/>
      <c r="V128" s="42"/>
      <c r="W128" s="42"/>
      <c r="X128" s="47"/>
    </row>
    <row r="129" spans="1:28" ht="15" customHeight="1">
      <c r="A129" s="91">
        <f>IF(W129="","",A125+1)</f>
        <v>28</v>
      </c>
      <c r="B129" s="92" t="str">
        <f>IF(W129="","",VLOOKUP(C130,Data!B:C,2,FALSE))</f>
        <v>PVC150</v>
      </c>
      <c r="C129" s="109"/>
      <c r="D129" s="20"/>
      <c r="E129" s="20"/>
      <c r="F129" s="93"/>
      <c r="G129" s="21">
        <f>IF(W129="","",SUM(S130:S132))</f>
        <v>30000</v>
      </c>
      <c r="H129" s="94" t="str">
        <f>IF(W129="","","M.")</f>
        <v>M.</v>
      </c>
      <c r="I129" s="116" t="str">
        <f>IF(W129="","",VLOOKUP(C130,Data!B:E,4,FALSE))</f>
        <v>DMT121170</v>
      </c>
      <c r="J129" s="127">
        <f>IF(W129="","",VLOOKUP(C130,Data!B:F,5,FALSE))</f>
        <v>24070028</v>
      </c>
      <c r="K129" s="116">
        <f>IFERROR(IF(P130="","",J129*(P130+P131+P132)),"")</f>
        <v>361050420</v>
      </c>
      <c r="L129" s="134" t="str">
        <f>IF(W129="","","35.0 x 35.0 x 14.0")</f>
        <v>35.0 x 35.0 x 14.0</v>
      </c>
      <c r="M129" s="135"/>
      <c r="O129" s="22" t="s">
        <v>16</v>
      </c>
      <c r="R129" s="23"/>
      <c r="S129" s="24"/>
      <c r="T129" s="25"/>
      <c r="U129" s="25"/>
      <c r="V129" s="25">
        <f>V125+1</f>
        <v>28</v>
      </c>
      <c r="W129" s="48" t="str">
        <f>VLOOKUP(V129,Data!A:B,2,FALSE)</f>
        <v>TA0979-B</v>
      </c>
      <c r="X129" s="27" t="str">
        <f>VLOOKUP(V129,Data!A:F,5,FALSE)</f>
        <v>DMT121170</v>
      </c>
      <c r="Y129" s="2">
        <f>G129/2000</f>
        <v>15</v>
      </c>
      <c r="AA129" s="45" t="str">
        <f>AB125+1&amp;IF(Y129=1,"","-"&amp;AB129)</f>
        <v>113-127</v>
      </c>
      <c r="AB129" s="2">
        <f>ROUNDUP(SUM($Y$21:Y129),0)</f>
        <v>127</v>
      </c>
    </row>
    <row r="130" spans="1:28" ht="15" customHeight="1">
      <c r="A130" s="96"/>
      <c r="B130" s="20" t="str">
        <f>IF(W129="","","PART NO :")</f>
        <v>PART NO :</v>
      </c>
      <c r="C130" s="30" t="str">
        <f>IF(W129="","",W129)</f>
        <v>TA0979-B</v>
      </c>
      <c r="D130" s="97"/>
      <c r="E130" s="20" t="str">
        <f>IF(C130="","",", "&amp;VLOOKUP(C130,Data!B:D,3,FALSE))</f>
        <v>, CC18054HP114</v>
      </c>
      <c r="F130" s="93"/>
      <c r="G130" s="31" t="str">
        <f>IF(W129="","","(2000 M./BOX)")</f>
        <v>(2000 M./BOX)</v>
      </c>
      <c r="H130" s="94"/>
      <c r="I130" s="117"/>
      <c r="K130" s="116"/>
      <c r="L130" s="132" t="str">
        <f>IF(W129="","","C/N   "&amp;AA129)</f>
        <v>C/N   113-127</v>
      </c>
      <c r="M130" s="133"/>
      <c r="O130" s="22" t="s">
        <v>16</v>
      </c>
      <c r="P130" s="32">
        <f>S130/2000</f>
        <v>15</v>
      </c>
      <c r="Q130" s="1" t="s">
        <v>17</v>
      </c>
      <c r="R130" s="33">
        <f>VLOOKUP(V129,Data!A:F,6,FALSE)</f>
        <v>24070028</v>
      </c>
      <c r="S130" s="34">
        <v>30000</v>
      </c>
      <c r="T130" s="2" t="s">
        <v>18</v>
      </c>
      <c r="X130" s="46"/>
      <c r="Y130" s="18"/>
    </row>
    <row r="131" spans="1:28" ht="15" customHeight="1">
      <c r="A131" s="96"/>
      <c r="B131" s="20" t="str">
        <f>IF(W129="","","LOT NO:")</f>
        <v>LOT NO:</v>
      </c>
      <c r="C131" s="99" t="str">
        <f>IF(W129="","",R130&amp;IF(R131="","",","&amp;R131&amp;IF(R132="","",","&amp;R132)))</f>
        <v>24070028</v>
      </c>
      <c r="D131" s="20"/>
      <c r="E131" s="20"/>
      <c r="F131" s="93"/>
      <c r="G131" s="37"/>
      <c r="H131" s="94"/>
      <c r="I131" s="117"/>
      <c r="K131" s="128"/>
      <c r="L131" s="38" t="str">
        <f>A129&amp;"{1"&amp;C130&amp;"{2"&amp;G129&amp;"{3"&amp;R130&amp;"{4"&amp;S130&amp;"{5"&amp;R131&amp;"{6"&amp;S131&amp;"{7"&amp;R132&amp;"{8"&amp;S132</f>
        <v>28{1TA0979-B{230000{324070028{430000{5{6{7{8</v>
      </c>
      <c r="M131" s="100"/>
      <c r="N131" s="95"/>
      <c r="O131" s="22" t="s">
        <v>16</v>
      </c>
      <c r="P131" s="32">
        <f>S131/2000</f>
        <v>0</v>
      </c>
      <c r="Q131" s="1" t="s">
        <v>17</v>
      </c>
      <c r="R131" s="39"/>
      <c r="S131" s="40"/>
      <c r="T131" s="2" t="s">
        <v>18</v>
      </c>
      <c r="X131" s="46"/>
    </row>
    <row r="132" spans="1:28" ht="15" customHeight="1">
      <c r="A132" s="101"/>
      <c r="B132" s="102" t="str">
        <f>IF(W129="","","PO.NO.")</f>
        <v>PO.NO.</v>
      </c>
      <c r="C132" s="103" t="str">
        <f>IF(W129="","",X129)</f>
        <v>DMT121170</v>
      </c>
      <c r="D132" s="104" t="str">
        <f>IF(W129="","","(Cable from Bando Lao)")</f>
        <v>(Cable from Bando Lao)</v>
      </c>
      <c r="E132" s="104"/>
      <c r="F132" s="105"/>
      <c r="G132" s="41"/>
      <c r="H132" s="106"/>
      <c r="I132" s="106"/>
      <c r="J132" s="129"/>
      <c r="K132" s="130"/>
      <c r="L132" s="107"/>
      <c r="M132" s="108"/>
      <c r="N132" s="98"/>
      <c r="O132" s="22"/>
      <c r="P132" s="32">
        <f>S132/2000</f>
        <v>0</v>
      </c>
      <c r="Q132" s="1" t="s">
        <v>17</v>
      </c>
      <c r="R132" s="39"/>
      <c r="S132" s="40"/>
      <c r="T132" s="42" t="s">
        <v>18</v>
      </c>
      <c r="U132" s="42"/>
      <c r="V132" s="42"/>
      <c r="W132" s="42"/>
      <c r="X132" s="47"/>
    </row>
    <row r="133" spans="1:28" ht="15" customHeight="1">
      <c r="A133" s="91">
        <f>IF(W133="","",A129+1)</f>
        <v>29</v>
      </c>
      <c r="B133" s="92" t="str">
        <f>IF(W133="","",VLOOKUP(C134,Data!B:C,2,FALSE))</f>
        <v>PVC151</v>
      </c>
      <c r="C133" s="109"/>
      <c r="D133" s="20"/>
      <c r="E133" s="20"/>
      <c r="F133" s="93"/>
      <c r="G133" s="21">
        <f>IF(W133="","",SUM(S134:S136))</f>
        <v>3000</v>
      </c>
      <c r="H133" s="94" t="str">
        <f>IF(W133="","","M.")</f>
        <v>M.</v>
      </c>
      <c r="I133" s="116" t="str">
        <f>IF(W133="","",VLOOKUP(C134,Data!B:E,4,FALSE))</f>
        <v>DMT121171</v>
      </c>
      <c r="J133" s="127">
        <f>IF(W133="","",VLOOKUP(C134,Data!B:F,5,FALSE))</f>
        <v>24070029</v>
      </c>
      <c r="K133" s="116">
        <f>IFERROR(IF(P134="","",J133*(P134+P135+P136)),"")</f>
        <v>36105043.5</v>
      </c>
      <c r="L133" s="134" t="str">
        <f>IF(W133="","","35.0 x 35.0 x 14.0")</f>
        <v>35.0 x 35.0 x 14.0</v>
      </c>
      <c r="M133" s="135"/>
      <c r="O133" s="22" t="s">
        <v>16</v>
      </c>
      <c r="R133" s="23"/>
      <c r="S133" s="24"/>
      <c r="T133" s="25"/>
      <c r="U133" s="25"/>
      <c r="V133" s="25">
        <f>V129+1</f>
        <v>29</v>
      </c>
      <c r="W133" s="48" t="str">
        <f>VLOOKUP(V133,Data!A:B,2,FALSE)</f>
        <v>TA0981</v>
      </c>
      <c r="X133" s="27" t="str">
        <f>VLOOKUP(V133,Data!A:F,5,FALSE)</f>
        <v>DMT121171</v>
      </c>
      <c r="Y133" s="2">
        <f>G133/2000</f>
        <v>1.5</v>
      </c>
      <c r="AA133" s="45" t="str">
        <f>AB129+1&amp;IF(Y133=1,"","-"&amp;AB133)</f>
        <v>128-129</v>
      </c>
      <c r="AB133" s="2">
        <f>ROUNDUP(SUM($Y$21:Y133),0)</f>
        <v>129</v>
      </c>
    </row>
    <row r="134" spans="1:28" ht="15" customHeight="1">
      <c r="A134" s="96"/>
      <c r="B134" s="20" t="str">
        <f>IF(W133="","","PART NO :")</f>
        <v>PART NO :</v>
      </c>
      <c r="C134" s="30" t="str">
        <f>IF(W133="","",W133)</f>
        <v>TA0981</v>
      </c>
      <c r="D134" s="97"/>
      <c r="E134" s="20" t="str">
        <f>IF(C134="","",", "&amp;VLOOKUP(C134,Data!B:D,3,FALSE))</f>
        <v>, CC18054HP115</v>
      </c>
      <c r="F134" s="93"/>
      <c r="G134" s="31" t="str">
        <f>IF(W133="","","(2000 M./BOX)")</f>
        <v>(2000 M./BOX)</v>
      </c>
      <c r="H134" s="94"/>
      <c r="I134" s="117"/>
      <c r="K134" s="116"/>
      <c r="L134" s="132" t="str">
        <f>IF(W133="","","C/N   "&amp;AA133)</f>
        <v>C/N   128-129</v>
      </c>
      <c r="M134" s="133"/>
      <c r="O134" s="22" t="s">
        <v>16</v>
      </c>
      <c r="P134" s="32">
        <f>S134/2000</f>
        <v>1.5</v>
      </c>
      <c r="Q134" s="1" t="s">
        <v>17</v>
      </c>
      <c r="R134" s="33">
        <f>VLOOKUP(V133,Data!A:F,6,FALSE)</f>
        <v>24070029</v>
      </c>
      <c r="S134" s="34">
        <v>3000</v>
      </c>
      <c r="T134" s="2" t="s">
        <v>18</v>
      </c>
      <c r="X134" s="46"/>
      <c r="Y134" s="18"/>
    </row>
    <row r="135" spans="1:28" ht="15" customHeight="1">
      <c r="A135" s="96"/>
      <c r="B135" s="20" t="str">
        <f>IF(W133="","","LOT NO:")</f>
        <v>LOT NO:</v>
      </c>
      <c r="C135" s="99" t="str">
        <f>IF(W133="","",R134&amp;IF(R135="","",","&amp;R135&amp;IF(R136="","",","&amp;R136)))</f>
        <v>24070029</v>
      </c>
      <c r="D135" s="20"/>
      <c r="E135" s="20"/>
      <c r="F135" s="93"/>
      <c r="G135" s="37"/>
      <c r="H135" s="94"/>
      <c r="I135" s="117"/>
      <c r="K135" s="128"/>
      <c r="L135" s="38" t="str">
        <f>A133&amp;"{1"&amp;C134&amp;"{2"&amp;G133&amp;"{3"&amp;R134&amp;"{4"&amp;S134&amp;"{5"&amp;R135&amp;"{6"&amp;S135&amp;"{7"&amp;R136&amp;"{8"&amp;S136</f>
        <v>29{1TA0981{23000{324070029{43000{5{6{7{8</v>
      </c>
      <c r="M135" s="100"/>
      <c r="N135" s="95"/>
      <c r="O135" s="22" t="s">
        <v>16</v>
      </c>
      <c r="P135" s="32">
        <f>S135/2000</f>
        <v>0</v>
      </c>
      <c r="Q135" s="1" t="s">
        <v>17</v>
      </c>
      <c r="R135" s="39"/>
      <c r="S135" s="40"/>
      <c r="T135" s="2" t="s">
        <v>18</v>
      </c>
      <c r="X135" s="46"/>
    </row>
    <row r="136" spans="1:28" ht="15" customHeight="1">
      <c r="A136" s="101"/>
      <c r="B136" s="102" t="str">
        <f>IF(W133="","","PO.NO.")</f>
        <v>PO.NO.</v>
      </c>
      <c r="C136" s="103" t="str">
        <f>IF(W133="","",X133)</f>
        <v>DMT121171</v>
      </c>
      <c r="D136" s="104" t="str">
        <f>IF(W133="","","(Cable from Bando Lao)")</f>
        <v>(Cable from Bando Lao)</v>
      </c>
      <c r="E136" s="104"/>
      <c r="F136" s="105"/>
      <c r="G136" s="41"/>
      <c r="H136" s="106"/>
      <c r="I136" s="106"/>
      <c r="J136" s="129"/>
      <c r="K136" s="130"/>
      <c r="L136" s="107"/>
      <c r="M136" s="108"/>
      <c r="N136" s="98"/>
      <c r="O136" s="22"/>
      <c r="P136" s="32">
        <f>S136/2000</f>
        <v>0</v>
      </c>
      <c r="Q136" s="1" t="s">
        <v>17</v>
      </c>
      <c r="R136" s="39"/>
      <c r="S136" s="40"/>
      <c r="T136" s="42" t="s">
        <v>18</v>
      </c>
      <c r="U136" s="42"/>
      <c r="V136" s="42"/>
      <c r="W136" s="42"/>
      <c r="X136" s="47"/>
    </row>
    <row r="137" spans="1:28" ht="15" customHeight="1">
      <c r="A137" s="91">
        <f>IF(W137="","",A133+1)</f>
        <v>30</v>
      </c>
      <c r="B137" s="92" t="str">
        <f>IF(W137="","",VLOOKUP(C138,Data!B:C,2,FALSE))</f>
        <v>PVC152</v>
      </c>
      <c r="C137" s="109"/>
      <c r="D137" s="20"/>
      <c r="E137" s="20"/>
      <c r="F137" s="93"/>
      <c r="G137" s="21">
        <f>IF(W137="","",SUM(S138:S140))</f>
        <v>30000</v>
      </c>
      <c r="H137" s="94" t="str">
        <f>IF(W137="","","M.")</f>
        <v>M.</v>
      </c>
      <c r="I137" s="116" t="str">
        <f>IF(W137="","",VLOOKUP(C138,Data!B:E,4,FALSE))</f>
        <v>DMT121172</v>
      </c>
      <c r="J137" s="127">
        <f>IF(W137="","",VLOOKUP(C138,Data!B:F,5,FALSE))</f>
        <v>24070030</v>
      </c>
      <c r="K137" s="116">
        <f>IFERROR(IF(P138="","",J137*(P138+P139+P140)),"")</f>
        <v>361050450</v>
      </c>
      <c r="L137" s="134" t="str">
        <f>IF(W137="","","35.0 x 35.0 x 14.0")</f>
        <v>35.0 x 35.0 x 14.0</v>
      </c>
      <c r="M137" s="135"/>
      <c r="O137" s="22" t="s">
        <v>16</v>
      </c>
      <c r="R137" s="23"/>
      <c r="S137" s="24"/>
      <c r="T137" s="25"/>
      <c r="U137" s="25"/>
      <c r="V137" s="25">
        <f>V133+1</f>
        <v>30</v>
      </c>
      <c r="W137" s="48" t="str">
        <f>VLOOKUP(V137,Data!A:B,2,FALSE)</f>
        <v>TA1006-B</v>
      </c>
      <c r="X137" s="27" t="str">
        <f>VLOOKUP(V137,Data!A:F,5,FALSE)</f>
        <v>DMT121172</v>
      </c>
      <c r="Y137" s="2">
        <f>G137/2000</f>
        <v>15</v>
      </c>
      <c r="AA137" s="45" t="str">
        <f>AB133+1&amp;IF(Y137=1,"","-"&amp;AB137)</f>
        <v>130-144</v>
      </c>
      <c r="AB137" s="2">
        <f>ROUNDUP(SUM($Y$21:Y137),0)</f>
        <v>144</v>
      </c>
    </row>
    <row r="138" spans="1:28" ht="15" customHeight="1">
      <c r="A138" s="96"/>
      <c r="B138" s="20" t="str">
        <f>IF(W137="","","PART NO :")</f>
        <v>PART NO :</v>
      </c>
      <c r="C138" s="30" t="str">
        <f>IF(W137="","",W137)</f>
        <v>TA1006-B</v>
      </c>
      <c r="D138" s="97"/>
      <c r="E138" s="20" t="str">
        <f>IF(C138="","",", "&amp;VLOOKUP(C138,Data!B:D,3,FALSE))</f>
        <v>, 46851201</v>
      </c>
      <c r="F138" s="93"/>
      <c r="G138" s="31" t="str">
        <f>IF(W137="","","(2000 M./BOX)")</f>
        <v>(2000 M./BOX)</v>
      </c>
      <c r="H138" s="94"/>
      <c r="I138" s="117"/>
      <c r="K138" s="116"/>
      <c r="L138" s="132" t="str">
        <f>IF(W137="","","C/N   "&amp;AA137)</f>
        <v>C/N   130-144</v>
      </c>
      <c r="M138" s="133"/>
      <c r="O138" s="22" t="s">
        <v>16</v>
      </c>
      <c r="P138" s="32">
        <f>S138/2000</f>
        <v>15</v>
      </c>
      <c r="Q138" s="1" t="s">
        <v>17</v>
      </c>
      <c r="R138" s="33">
        <f>VLOOKUP(V137,Data!A:F,6,FALSE)</f>
        <v>24070030</v>
      </c>
      <c r="S138" s="34">
        <v>30000</v>
      </c>
      <c r="T138" s="2" t="s">
        <v>18</v>
      </c>
      <c r="X138" s="46"/>
      <c r="Y138" s="18"/>
    </row>
    <row r="139" spans="1:28" ht="15" customHeight="1">
      <c r="A139" s="96"/>
      <c r="B139" s="20" t="str">
        <f>IF(W137="","","LOT NO:")</f>
        <v>LOT NO:</v>
      </c>
      <c r="C139" s="99" t="str">
        <f>IF(W137="","",R138&amp;IF(R139="","",","&amp;R139&amp;IF(R140="","",","&amp;R140)))</f>
        <v>24070030</v>
      </c>
      <c r="D139" s="20"/>
      <c r="E139" s="20"/>
      <c r="F139" s="93"/>
      <c r="G139" s="37"/>
      <c r="H139" s="94"/>
      <c r="I139" s="117"/>
      <c r="K139" s="128"/>
      <c r="L139" s="38" t="str">
        <f>A137&amp;"{1"&amp;C138&amp;"{2"&amp;G137&amp;"{3"&amp;R138&amp;"{4"&amp;S138&amp;"{5"&amp;R139&amp;"{6"&amp;S139&amp;"{7"&amp;R140&amp;"{8"&amp;S140</f>
        <v>30{1TA1006-B{230000{324070030{430000{5{6{7{8</v>
      </c>
      <c r="M139" s="100"/>
      <c r="O139" s="22" t="s">
        <v>16</v>
      </c>
      <c r="P139" s="32">
        <f>S139/2000</f>
        <v>0</v>
      </c>
      <c r="Q139" s="1" t="s">
        <v>17</v>
      </c>
      <c r="R139" s="39"/>
      <c r="S139" s="40"/>
      <c r="T139" s="2" t="s">
        <v>18</v>
      </c>
      <c r="X139" s="46"/>
    </row>
    <row r="140" spans="1:28" ht="15" customHeight="1">
      <c r="A140" s="101"/>
      <c r="B140" s="102" t="str">
        <f>IF(W137="","","PO.NO.")</f>
        <v>PO.NO.</v>
      </c>
      <c r="C140" s="103" t="str">
        <f>IF(W137="","",X137)</f>
        <v>DMT121172</v>
      </c>
      <c r="D140" s="104" t="str">
        <f>IF(W137="","","(Cable from Bando Lao)")</f>
        <v>(Cable from Bando Lao)</v>
      </c>
      <c r="E140" s="104"/>
      <c r="F140" s="105"/>
      <c r="G140" s="41"/>
      <c r="H140" s="106"/>
      <c r="I140" s="106"/>
      <c r="J140" s="129"/>
      <c r="K140" s="130"/>
      <c r="L140" s="107"/>
      <c r="M140" s="108"/>
      <c r="O140" s="22"/>
      <c r="P140" s="32">
        <f>S140/2000</f>
        <v>0</v>
      </c>
      <c r="Q140" s="1" t="s">
        <v>17</v>
      </c>
      <c r="R140" s="39"/>
      <c r="S140" s="40"/>
      <c r="T140" s="42" t="s">
        <v>18</v>
      </c>
      <c r="U140" s="42"/>
      <c r="V140" s="42"/>
      <c r="W140" s="42"/>
      <c r="X140" s="47"/>
    </row>
    <row r="141" spans="1:28" ht="15" customHeight="1"/>
    <row r="142" spans="1:28" ht="15" customHeight="1"/>
    <row r="143" spans="1:28" ht="15" customHeight="1"/>
    <row r="144" spans="1:28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</sheetData>
  <mergeCells count="68">
    <mergeCell ref="L57:M57"/>
    <mergeCell ref="L58:M58"/>
    <mergeCell ref="L45:M45"/>
    <mergeCell ref="L46:M46"/>
    <mergeCell ref="L49:M49"/>
    <mergeCell ref="L50:M50"/>
    <mergeCell ref="L53:M53"/>
    <mergeCell ref="L54:M54"/>
    <mergeCell ref="B19:F19"/>
    <mergeCell ref="L19:M20"/>
    <mergeCell ref="L42:M42"/>
    <mergeCell ref="L21:M21"/>
    <mergeCell ref="L22:M22"/>
    <mergeCell ref="L25:M25"/>
    <mergeCell ref="L26:M26"/>
    <mergeCell ref="L29:M29"/>
    <mergeCell ref="L30:M30"/>
    <mergeCell ref="L33:M33"/>
    <mergeCell ref="L34:M34"/>
    <mergeCell ref="L37:M37"/>
    <mergeCell ref="L38:M38"/>
    <mergeCell ref="L41:M41"/>
    <mergeCell ref="H15:J15"/>
    <mergeCell ref="K15:M15"/>
    <mergeCell ref="B17:F17"/>
    <mergeCell ref="L17:M17"/>
    <mergeCell ref="B18:F18"/>
    <mergeCell ref="L18:M18"/>
    <mergeCell ref="L61:M61"/>
    <mergeCell ref="L62:M62"/>
    <mergeCell ref="L65:M65"/>
    <mergeCell ref="L66:M66"/>
    <mergeCell ref="L69:M69"/>
    <mergeCell ref="L70:M70"/>
    <mergeCell ref="L73:M73"/>
    <mergeCell ref="L74:M74"/>
    <mergeCell ref="L77:M77"/>
    <mergeCell ref="L78:M78"/>
    <mergeCell ref="L81:M81"/>
    <mergeCell ref="L82:M82"/>
    <mergeCell ref="L85:M85"/>
    <mergeCell ref="L86:M86"/>
    <mergeCell ref="L89:M89"/>
    <mergeCell ref="L90:M90"/>
    <mergeCell ref="L93:M93"/>
    <mergeCell ref="L94:M94"/>
    <mergeCell ref="L97:M97"/>
    <mergeCell ref="L98:M98"/>
    <mergeCell ref="L101:M101"/>
    <mergeCell ref="L102:M102"/>
    <mergeCell ref="L105:M105"/>
    <mergeCell ref="L106:M106"/>
    <mergeCell ref="L109:M109"/>
    <mergeCell ref="L110:M110"/>
    <mergeCell ref="L113:M113"/>
    <mergeCell ref="L114:M114"/>
    <mergeCell ref="L117:M117"/>
    <mergeCell ref="L118:M118"/>
    <mergeCell ref="L121:M121"/>
    <mergeCell ref="L122:M122"/>
    <mergeCell ref="L125:M125"/>
    <mergeCell ref="L126:M126"/>
    <mergeCell ref="L129:M129"/>
    <mergeCell ref="L130:M130"/>
    <mergeCell ref="L133:M133"/>
    <mergeCell ref="L134:M134"/>
    <mergeCell ref="L137:M137"/>
    <mergeCell ref="L138:M138"/>
  </mergeCells>
  <phoneticPr fontId="38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Bando Densen</dc:creator>
  <cp:lastModifiedBy>Bando Densen</cp:lastModifiedBy>
  <cp:lastPrinted>2024-07-16T06:20:46Z</cp:lastPrinted>
  <dcterms:created xsi:type="dcterms:W3CDTF">2024-07-16T05:07:28Z</dcterms:created>
  <dcterms:modified xsi:type="dcterms:W3CDTF">2024-07-16T08:05:03Z</dcterms:modified>
</cp:coreProperties>
</file>