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25" yWindow="375" windowWidth="15060" windowHeight="9090" tabRatio="955" activeTab="1"/>
  </bookViews>
  <sheets>
    <sheet name="Form" sheetId="7" r:id="rId1"/>
    <sheet name="Template" sheetId="6" r:id="rId2"/>
    <sheet name="RM" sheetId="2" r:id="rId3"/>
    <sheet name="FG" sheetId="1" r:id="rId4"/>
  </sheets>
  <externalReferences>
    <externalReference r:id="rId5"/>
  </externalReferences>
  <definedNames>
    <definedName name="_xlnm._FilterDatabase" localSheetId="3" hidden="1">FG!$B$1:$E$3</definedName>
    <definedName name="_xlnm._FilterDatabase" localSheetId="2" hidden="1">RM!$B$1:$E$6</definedName>
    <definedName name="ประกอบ">Form!$P$3:$P$16</definedName>
    <definedName name="รหัสวัตถุดิบ_RM">RM!$C$2:$C$5</definedName>
    <definedName name="รหัสสินค้า.B">FG!$C$2:$C$6</definedName>
    <definedName name="รหัสสินค้า_FG">FG!$B$2:$B$6</definedName>
    <definedName name="รายละเอียดวัตถุดิบ_RM">RM!$D$2:$D$5</definedName>
    <definedName name="รายละเอียดสินค้า_FG">FG!$E$2:$E$6</definedName>
  </definedNames>
  <calcPr calcId="124519"/>
</workbook>
</file>

<file path=xl/calcChain.xml><?xml version="1.0" encoding="utf-8"?>
<calcChain xmlns="http://schemas.openxmlformats.org/spreadsheetml/2006/main">
  <c r="N2" i="7"/>
  <c r="M2"/>
  <c r="L2"/>
  <c r="K2"/>
  <c r="J2"/>
  <c r="C6"/>
  <c r="AC5" i="2"/>
  <c r="AC4"/>
  <c r="AC3"/>
  <c r="AC2"/>
  <c r="AC6"/>
  <c r="J23" i="6"/>
  <c r="J24"/>
  <c r="J25"/>
  <c r="J22"/>
  <c r="Q22"/>
  <c r="P22"/>
  <c r="P23"/>
  <c r="Q23"/>
  <c r="P24"/>
  <c r="Q24"/>
  <c r="P25"/>
  <c r="Q25"/>
  <c r="E4" i="7"/>
  <c r="I2" l="1"/>
  <c r="D4"/>
  <c r="B23" i="6"/>
  <c r="C23"/>
  <c r="B24"/>
  <c r="C24"/>
  <c r="B25"/>
  <c r="C25"/>
  <c r="G23"/>
  <c r="H23"/>
  <c r="G24"/>
  <c r="H24"/>
  <c r="G25"/>
  <c r="H25"/>
  <c r="H22"/>
  <c r="G22"/>
  <c r="N22"/>
  <c r="C22"/>
  <c r="B22"/>
  <c r="L22"/>
  <c r="L16" l="1"/>
  <c r="K16"/>
  <c r="J16"/>
  <c r="H16"/>
  <c r="G16"/>
  <c r="E16"/>
  <c r="C16"/>
  <c r="B16"/>
  <c r="L15"/>
  <c r="K15"/>
  <c r="J15"/>
  <c r="H15"/>
  <c r="G15"/>
  <c r="E15"/>
  <c r="C15"/>
  <c r="B15"/>
  <c r="L14"/>
  <c r="K14"/>
  <c r="J14"/>
  <c r="H14"/>
  <c r="G14"/>
  <c r="E14"/>
  <c r="C14"/>
  <c r="B14"/>
  <c r="L13"/>
  <c r="K13"/>
  <c r="J13"/>
  <c r="H13"/>
  <c r="G13"/>
  <c r="E13"/>
  <c r="C13"/>
  <c r="B13"/>
  <c r="L12"/>
  <c r="K12"/>
  <c r="J12"/>
  <c r="H12"/>
  <c r="G12"/>
  <c r="E12"/>
  <c r="C12"/>
  <c r="B12"/>
  <c r="D16" l="1"/>
  <c r="D15"/>
  <c r="F10" i="7"/>
  <c r="B6" l="1"/>
  <c r="I13" i="6" l="1"/>
  <c r="I16"/>
  <c r="I12"/>
  <c r="I15"/>
  <c r="I14"/>
  <c r="F9" i="7"/>
  <c r="D25" i="6" s="1"/>
  <c r="F8" i="7"/>
  <c r="F7"/>
  <c r="D23" i="6" s="1"/>
  <c r="F6" i="7"/>
  <c r="D22" i="6" s="1"/>
  <c r="F5" i="7" l="1"/>
  <c r="D24" i="6"/>
  <c r="K22" l="1"/>
  <c r="D7" i="7"/>
  <c r="F16" i="6"/>
  <c r="F14"/>
  <c r="F12"/>
  <c r="F15"/>
  <c r="F13"/>
  <c r="I10" i="7" a="1"/>
  <c r="I10" s="1"/>
  <c r="G10" s="1"/>
  <c r="M10" s="1"/>
  <c r="O10" s="1"/>
  <c r="I7" a="1"/>
  <c r="I7" s="1"/>
  <c r="I8" a="1"/>
  <c r="I8" s="1"/>
  <c r="I6" a="1"/>
  <c r="I6" s="1"/>
  <c r="D8" l="1"/>
  <c r="O22" i="6" s="1"/>
  <c r="M22"/>
  <c r="G7" i="7"/>
  <c r="F23" i="6"/>
  <c r="F25"/>
  <c r="G8" i="7"/>
  <c r="F24" i="6"/>
  <c r="G6" i="7"/>
  <c r="F22" i="6"/>
  <c r="M8" i="7" l="1"/>
  <c r="O8" s="1"/>
  <c r="I24" i="6" s="1"/>
  <c r="E24"/>
  <c r="M7" i="7"/>
  <c r="O7" s="1"/>
  <c r="I23" i="6" s="1"/>
  <c r="E23"/>
  <c r="O9" i="7"/>
  <c r="I25" i="6" s="1"/>
  <c r="E25"/>
  <c r="M6" i="7"/>
  <c r="O6" s="1"/>
  <c r="E22" i="6"/>
  <c r="D12"/>
  <c r="D14"/>
  <c r="D13"/>
  <c r="D9" i="7" l="1"/>
  <c r="I22" i="6"/>
  <c r="E16" i="7" l="1" a="1"/>
  <c r="E16" s="1"/>
  <c r="D16" a="1"/>
  <c r="D16" s="1"/>
  <c r="G16" s="1"/>
  <c r="D14" a="1"/>
  <c r="D14" s="1"/>
  <c r="C13" a="1"/>
  <c r="C13" s="1"/>
  <c r="E15" a="1"/>
  <c r="E15" s="1"/>
  <c r="D15" a="1"/>
  <c r="D15" s="1"/>
  <c r="G15" s="1"/>
  <c r="C16" a="1"/>
  <c r="C16" s="1"/>
  <c r="C14" a="1"/>
  <c r="C14" s="1"/>
  <c r="C15" a="1"/>
  <c r="C15" s="1"/>
  <c r="E14" a="1"/>
  <c r="E14" s="1"/>
  <c r="E13" a="1"/>
  <c r="E13" s="1"/>
  <c r="B13" s="1"/>
  <c r="D13" a="1"/>
  <c r="D13" s="1"/>
  <c r="I16" l="1"/>
  <c r="B15"/>
  <c r="B16"/>
  <c r="B14"/>
  <c r="I14"/>
  <c r="H11"/>
  <c r="I13"/>
  <c r="G13"/>
  <c r="H13" s="1"/>
  <c r="F16"/>
  <c r="H16"/>
  <c r="F13"/>
  <c r="I15"/>
  <c r="F15"/>
  <c r="G14"/>
  <c r="F14"/>
  <c r="H14" l="1"/>
  <c r="B12"/>
  <c r="H15"/>
  <c r="C3" l="1"/>
  <c r="A24" i="6" l="1"/>
  <c r="A25"/>
  <c r="A23"/>
  <c r="A22"/>
  <c r="A16"/>
  <c r="A15"/>
  <c r="A14"/>
  <c r="A13"/>
  <c r="A12"/>
</calcChain>
</file>

<file path=xl/comments1.xml><?xml version="1.0" encoding="utf-8"?>
<comments xmlns="http://schemas.openxmlformats.org/spreadsheetml/2006/main">
  <authors>
    <author>Mr.KKD</author>
  </authors>
  <commentList>
    <comment ref="U1" authorId="0">
      <text>
        <r>
          <rPr>
            <b/>
            <sz val="8"/>
            <color indexed="81"/>
            <rFont val="Tahoma"/>
            <family val="2"/>
          </rPr>
          <t>Mr.KKD:</t>
        </r>
        <r>
          <rPr>
            <sz val="8"/>
            <color indexed="81"/>
            <rFont val="Tahoma"/>
            <family val="2"/>
          </rPr>
          <t xml:space="preserve">
ตะกั่วตัว / Kg.</t>
        </r>
      </text>
    </comment>
    <comment ref="AD1" authorId="0">
      <text>
        <r>
          <rPr>
            <b/>
            <sz val="8"/>
            <color indexed="81"/>
            <rFont val="Tahoma"/>
            <family val="2"/>
          </rPr>
          <t>Mr.KKD:
ชั่งที่ k97</t>
        </r>
        <r>
          <rPr>
            <sz val="8"/>
            <color indexed="81"/>
            <rFont val="Tahoma"/>
            <family val="2"/>
          </rPr>
          <t xml:space="preserve">
จำนวนตัว / Kg.</t>
        </r>
      </text>
    </comment>
    <comment ref="U2" authorId="0">
      <text>
        <r>
          <rPr>
            <b/>
            <sz val="8"/>
            <color indexed="81"/>
            <rFont val="Tahoma"/>
            <family val="2"/>
          </rPr>
          <t>Mr.KKD:</t>
        </r>
        <r>
          <rPr>
            <sz val="8"/>
            <color indexed="81"/>
            <rFont val="Tahoma"/>
            <family val="2"/>
          </rPr>
          <t xml:space="preserve">
144 ชิ้น / kg.</t>
        </r>
      </text>
    </comment>
  </commentList>
</comments>
</file>

<file path=xl/comments2.xml><?xml version="1.0" encoding="utf-8"?>
<comments xmlns="http://schemas.openxmlformats.org/spreadsheetml/2006/main">
  <authors>
    <author>user</author>
    <author>Mr.KKD</author>
  </authors>
  <commentList>
    <comment ref="U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จำนวนตัว / กิโล</t>
        </r>
      </text>
    </comment>
    <comment ref="U2" authorId="1">
      <text>
        <r>
          <rPr>
            <b/>
            <sz val="8"/>
            <color indexed="81"/>
            <rFont val="Tahoma"/>
            <family val="2"/>
          </rPr>
          <t>Mr.KKD:</t>
        </r>
        <r>
          <rPr>
            <sz val="8"/>
            <color indexed="81"/>
            <rFont val="Tahoma"/>
            <family val="2"/>
          </rPr>
          <t xml:space="preserve">
ซ.14 ชั้ง 66
 /กิโล</t>
        </r>
      </text>
    </comment>
  </commentList>
</comments>
</file>

<file path=xl/sharedStrings.xml><?xml version="1.0" encoding="utf-8"?>
<sst xmlns="http://schemas.openxmlformats.org/spreadsheetml/2006/main" count="173" uniqueCount="95">
  <si>
    <t>รหัสสินค้า</t>
  </si>
  <si>
    <t>รหัสวัตถุดิบ</t>
  </si>
  <si>
    <t>รายละเอียดวัตถุดิบ</t>
  </si>
  <si>
    <t>ปริมาณวัตถุดิบ</t>
  </si>
  <si>
    <t>ตัว</t>
  </si>
  <si>
    <t>Standard</t>
  </si>
  <si>
    <t>Raw Material</t>
  </si>
  <si>
    <t>ม้วน</t>
  </si>
  <si>
    <t>ใบ</t>
  </si>
  <si>
    <t>เมตร</t>
  </si>
  <si>
    <t>ชนิดวัตถุดิบ/บรรจุภัณฑ์</t>
  </si>
  <si>
    <t>รหัส</t>
  </si>
  <si>
    <t>ลัง</t>
  </si>
  <si>
    <t>กล่อง</t>
  </si>
  <si>
    <t>มัด</t>
  </si>
  <si>
    <t>โหล</t>
  </si>
  <si>
    <t>ถุง</t>
  </si>
  <si>
    <t>อัน</t>
  </si>
  <si>
    <t>ท่อ</t>
  </si>
  <si>
    <t>แผ่น</t>
  </si>
  <si>
    <t>เส้น</t>
  </si>
  <si>
    <t>ชุด</t>
  </si>
  <si>
    <t>ถัง</t>
  </si>
  <si>
    <t>กิโล</t>
  </si>
  <si>
    <t>กุรุส</t>
  </si>
  <si>
    <t>ย่อย</t>
  </si>
  <si>
    <t>รวม/LOST</t>
  </si>
  <si>
    <t>DB-FL001</t>
  </si>
  <si>
    <t>ลำดับ</t>
  </si>
  <si>
    <t>กรัม</t>
  </si>
  <si>
    <t>ต่อชุด</t>
  </si>
  <si>
    <t>วันที่บันทึก</t>
  </si>
  <si>
    <t>นับ</t>
  </si>
  <si>
    <t>น้ำหนัก</t>
  </si>
  <si>
    <t>กรัม/ตัว</t>
  </si>
  <si>
    <t>หมายเหตุ</t>
  </si>
  <si>
    <t>หน่วย</t>
  </si>
  <si>
    <t>วันที่</t>
  </si>
  <si>
    <t>รายการ</t>
  </si>
  <si>
    <t>โรงงาน 97</t>
  </si>
  <si>
    <t>เลขบันทึก</t>
  </si>
  <si>
    <t>พนักงาน</t>
  </si>
  <si>
    <t>ชื่อสินค้า / Finish  Good</t>
  </si>
  <si>
    <t>BP-FL002</t>
  </si>
  <si>
    <t>เปลือก 5/16  FL</t>
  </si>
  <si>
    <t>BK-FL002</t>
  </si>
  <si>
    <t>กว้าง 5/16  FL</t>
  </si>
  <si>
    <t>BT-FL002</t>
  </si>
  <si>
    <t>ต๊าฟ 5/16  FL</t>
  </si>
  <si>
    <t>DB-FL002</t>
  </si>
  <si>
    <t>1-01-DB-FL001</t>
  </si>
  <si>
    <t>1-01-DB-FL002</t>
  </si>
  <si>
    <t>ช๊อด</t>
  </si>
  <si>
    <t>นับ.1</t>
  </si>
  <si>
    <t>นับ.2</t>
  </si>
  <si>
    <t>นับ.3</t>
  </si>
  <si>
    <t>K.14 เหลือ</t>
  </si>
  <si>
    <t>ส่งออกเหลือ</t>
  </si>
  <si>
    <t>BS-FL002</t>
  </si>
  <si>
    <t>สปริงแหวน # 0.7 มิล 5/16</t>
  </si>
  <si>
    <t>น้อย</t>
  </si>
  <si>
    <t>ชื่อพนักงานประกอบ</t>
  </si>
  <si>
    <t>จำนวนน้ำหนัก</t>
  </si>
  <si>
    <t>รหัสสินค้า.B</t>
  </si>
  <si>
    <t>รวมน้ำหนัก/kg.</t>
  </si>
  <si>
    <t>รวมน้ำหนัก*จำนวนตัว</t>
  </si>
  <si>
    <t>รวมจำนวนตัวที่แพ็ค</t>
  </si>
  <si>
    <t>วันนี้</t>
  </si>
  <si>
    <t>เลขที่แพ็ค</t>
  </si>
  <si>
    <t>รับเข้า/กิโล</t>
  </si>
  <si>
    <t>ปริมาณตัว/kg.</t>
  </si>
  <si>
    <t>รับสินค้านอกสถานที่เข้า</t>
  </si>
  <si>
    <t>รับเข้า</t>
  </si>
  <si>
    <t>รายละเอียด</t>
  </si>
  <si>
    <t>วันที่รับ</t>
  </si>
  <si>
    <t>จำนวนกิโล</t>
  </si>
  <si>
    <t>รวมน้ำหนักกิโล</t>
  </si>
  <si>
    <t>น้ำหนัก*จำนวนตัว</t>
  </si>
  <si>
    <t>หน่วยนับ</t>
  </si>
  <si>
    <t>จำนวนแพ็ค</t>
  </si>
  <si>
    <t>จำนวนตัว</t>
  </si>
  <si>
    <t xml:space="preserve">  รวมน้ำหนัก*จำนวนตัว =&gt;</t>
  </si>
  <si>
    <t>A12:L12</t>
  </si>
  <si>
    <t>b1</t>
  </si>
  <si>
    <t>b2</t>
  </si>
  <si>
    <t xml:space="preserve">ชื่อสินค้า </t>
  </si>
  <si>
    <t>แต๋ว</t>
  </si>
  <si>
    <t>แหม่ม</t>
  </si>
  <si>
    <t>เล็ก</t>
  </si>
  <si>
    <t>ยา</t>
  </si>
  <si>
    <t>xx</t>
  </si>
  <si>
    <t>Code ชื่อ InEmp</t>
  </si>
  <si>
    <t>บันทึกไปที่ไฟล์ Material_BookShare.xlsx ชีท Emp</t>
  </si>
  <si>
    <t>Code ชื่อ InFG</t>
  </si>
  <si>
    <t>บันทึกไปที่ไฟล์ Material_BookShare.xlsx ชีท FG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</si>
</sst>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[$-107041E]d\ mmm\ yy;@"/>
  </numFmts>
  <fonts count="2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  <font>
      <sz val="16"/>
      <color theme="1"/>
      <name val="Angsana New"/>
      <family val="1"/>
    </font>
    <font>
      <sz val="14"/>
      <color theme="1"/>
      <name val="Angsana New"/>
      <family val="1"/>
    </font>
    <font>
      <sz val="14"/>
      <name val="Angsana New"/>
      <family val="1"/>
    </font>
    <font>
      <b/>
      <sz val="14"/>
      <color indexed="15"/>
      <name val="AngsanaUPC"/>
      <family val="1"/>
      <charset val="222"/>
    </font>
    <font>
      <b/>
      <sz val="14"/>
      <color theme="1"/>
      <name val="Angsana New"/>
      <family val="1"/>
    </font>
    <font>
      <sz val="18"/>
      <color rgb="FFFF0000"/>
      <name val="AngsanaUPC"/>
      <family val="1"/>
      <charset val="222"/>
    </font>
    <font>
      <sz val="8"/>
      <color theme="1"/>
      <name val="Tahoma"/>
      <family val="2"/>
      <charset val="222"/>
      <scheme val="minor"/>
    </font>
    <font>
      <sz val="12"/>
      <color theme="1"/>
      <name val="Angsana New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Angsana New"/>
      <family val="1"/>
    </font>
    <font>
      <sz val="10"/>
      <color theme="1"/>
      <name val="Tahoma"/>
      <family val="2"/>
      <charset val="222"/>
      <scheme val="minor"/>
    </font>
    <font>
      <sz val="11"/>
      <color rgb="FF00B050"/>
      <name val="Tahoma"/>
      <family val="2"/>
      <charset val="222"/>
      <scheme val="minor"/>
    </font>
    <font>
      <sz val="11"/>
      <color theme="1"/>
      <name val="Angsana New"/>
      <family val="1"/>
    </font>
    <font>
      <sz val="16"/>
      <color rgb="FFFF0000"/>
      <name val="Angsana New"/>
      <family val="1"/>
    </font>
    <font>
      <sz val="14"/>
      <color rgb="FFFF0000"/>
      <name val="Angsana New"/>
      <family val="1"/>
    </font>
    <font>
      <sz val="11"/>
      <color theme="1"/>
      <name val="AngsanaUPC"/>
      <family val="1"/>
      <charset val="222"/>
    </font>
    <font>
      <sz val="11"/>
      <color rgb="FFFF6600"/>
      <name val="Tahoma"/>
      <family val="2"/>
      <charset val="222"/>
      <scheme val="minor"/>
    </font>
    <font>
      <sz val="11"/>
      <color rgb="FF000000"/>
      <name val="Tahoma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auto="1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92D050"/>
        <bgColor indexed="64"/>
      </patternFill>
    </fill>
    <fill>
      <gradientFill degree="90">
        <stop position="0">
          <color theme="0"/>
        </stop>
        <stop position="1">
          <color rgb="FF04AC84"/>
        </stop>
      </gradientFill>
    </fill>
    <fill>
      <patternFill patternType="solid">
        <fgColor theme="0"/>
        <bgColor auto="1"/>
      </patternFill>
    </fill>
    <fill>
      <gradientFill degree="90">
        <stop position="0">
          <color theme="0"/>
        </stop>
        <stop position="1">
          <color theme="9" tint="-0.25098422193060094"/>
        </stop>
      </gradientFill>
    </fill>
    <fill>
      <patternFill patternType="solid">
        <fgColor theme="5"/>
        <bgColor indexed="64"/>
      </patternFill>
    </fill>
    <fill>
      <patternFill patternType="solid">
        <fgColor rgb="FFA6EC34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-0.24994659260841701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1">
          <color rgb="FFFF9999"/>
        </stop>
      </gradientFill>
    </fill>
    <fill>
      <gradientFill degree="90">
        <stop position="0">
          <color theme="0"/>
        </stop>
        <stop position="1">
          <color theme="9" tint="0.40000610370189521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theme="3"/>
        </stop>
      </gradientFill>
    </fill>
    <fill>
      <gradientFill degree="90">
        <stop position="0">
          <color theme="0"/>
        </stop>
        <stop position="1">
          <color rgb="FF66FF33"/>
        </stop>
      </gradientFill>
    </fill>
    <fill>
      <gradientFill degree="90">
        <stop position="0">
          <color theme="0"/>
        </stop>
        <stop position="1">
          <color rgb="FFFF9966"/>
        </stop>
      </gradientFill>
    </fill>
    <fill>
      <gradientFill degree="90">
        <stop position="0">
          <color theme="0"/>
        </stop>
        <stop position="1">
          <color rgb="FFFAC192"/>
        </stop>
      </gradientFill>
    </fill>
    <fill>
      <gradientFill degree="90">
        <stop position="0">
          <color theme="0"/>
        </stop>
        <stop position="1">
          <color rgb="FFCC3300"/>
        </stop>
      </gradient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3" xfId="0" applyBorder="1"/>
    <xf numFmtId="0" fontId="0" fillId="0" borderId="4" xfId="0" applyBorder="1"/>
    <xf numFmtId="0" fontId="1" fillId="2" borderId="5" xfId="0" applyFont="1" applyFill="1" applyBorder="1" applyProtection="1"/>
    <xf numFmtId="0" fontId="5" fillId="4" borderId="6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0" fillId="0" borderId="6" xfId="0" applyBorder="1"/>
    <xf numFmtId="0" fontId="1" fillId="6" borderId="5" xfId="0" applyFont="1" applyFill="1" applyBorder="1"/>
    <xf numFmtId="0" fontId="0" fillId="2" borderId="5" xfId="0" applyFill="1" applyBorder="1"/>
    <xf numFmtId="2" fontId="0" fillId="0" borderId="6" xfId="0" applyNumberFormat="1" applyBorder="1"/>
    <xf numFmtId="187" fontId="0" fillId="0" borderId="0" xfId="0" applyNumberFormat="1"/>
    <xf numFmtId="0" fontId="0" fillId="0" borderId="0" xfId="0" applyProtection="1"/>
    <xf numFmtId="0" fontId="0" fillId="0" borderId="7" xfId="0" applyBorder="1" applyProtection="1"/>
    <xf numFmtId="0" fontId="5" fillId="5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" fillId="6" borderId="6" xfId="0" applyFont="1" applyFill="1" applyBorder="1"/>
    <xf numFmtId="0" fontId="1" fillId="2" borderId="6" xfId="0" applyFont="1" applyFill="1" applyBorder="1" applyProtection="1"/>
    <xf numFmtId="0" fontId="1" fillId="2" borderId="6" xfId="0" applyFont="1" applyFill="1" applyBorder="1" applyAlignment="1">
      <alignment horizontal="center"/>
    </xf>
    <xf numFmtId="0" fontId="0" fillId="11" borderId="6" xfId="0" applyFill="1" applyBorder="1"/>
    <xf numFmtId="0" fontId="0" fillId="6" borderId="6" xfId="0" applyFill="1" applyBorder="1"/>
    <xf numFmtId="0" fontId="0" fillId="2" borderId="6" xfId="0" applyFill="1" applyBorder="1"/>
    <xf numFmtId="0" fontId="1" fillId="6" borderId="6" xfId="0" applyFont="1" applyFill="1" applyBorder="1" applyAlignment="1" applyProtection="1">
      <alignment horizontal="center"/>
      <protection locked="0"/>
    </xf>
    <xf numFmtId="0" fontId="1" fillId="6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/>
    <xf numFmtId="0" fontId="1" fillId="12" borderId="0" xfId="0" applyFont="1" applyFill="1" applyBorder="1" applyProtection="1"/>
    <xf numFmtId="0" fontId="0" fillId="0" borderId="0" xfId="0" applyBorder="1"/>
    <xf numFmtId="0" fontId="0" fillId="0" borderId="2" xfId="0" applyBorder="1"/>
    <xf numFmtId="0" fontId="5" fillId="13" borderId="6" xfId="0" applyFont="1" applyFill="1" applyBorder="1" applyAlignment="1">
      <alignment horizontal="center"/>
    </xf>
    <xf numFmtId="0" fontId="5" fillId="13" borderId="10" xfId="0" applyFont="1" applyFill="1" applyBorder="1" applyAlignment="1">
      <alignment horizontal="center"/>
    </xf>
    <xf numFmtId="40" fontId="5" fillId="4" borderId="10" xfId="0" applyNumberFormat="1" applyFont="1" applyFill="1" applyBorder="1" applyAlignment="1">
      <alignment horizontal="center"/>
    </xf>
    <xf numFmtId="40" fontId="0" fillId="13" borderId="6" xfId="0" applyNumberFormat="1" applyFill="1" applyBorder="1"/>
    <xf numFmtId="2" fontId="0" fillId="0" borderId="0" xfId="0" applyNumberFormat="1"/>
    <xf numFmtId="40" fontId="0" fillId="0" borderId="0" xfId="0" applyNumberFormat="1"/>
    <xf numFmtId="0" fontId="3" fillId="2" borderId="2" xfId="0" applyFont="1" applyFill="1" applyBorder="1" applyAlignment="1" applyProtection="1"/>
    <xf numFmtId="0" fontId="1" fillId="6" borderId="0" xfId="0" applyFont="1" applyFill="1" applyBorder="1"/>
    <xf numFmtId="0" fontId="2" fillId="3" borderId="13" xfId="0" applyFont="1" applyFill="1" applyBorder="1" applyAlignment="1" applyProtection="1">
      <alignment horizontal="center"/>
    </xf>
    <xf numFmtId="0" fontId="0" fillId="10" borderId="19" xfId="0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0" fillId="0" borderId="10" xfId="0" applyBorder="1" applyAlignment="1" applyProtection="1"/>
    <xf numFmtId="0" fontId="6" fillId="2" borderId="10" xfId="0" applyFont="1" applyFill="1" applyBorder="1" applyAlignment="1" applyProtection="1"/>
    <xf numFmtId="0" fontId="3" fillId="2" borderId="26" xfId="0" applyFont="1" applyFill="1" applyBorder="1" applyAlignment="1" applyProtection="1">
      <alignment horizontal="center"/>
    </xf>
    <xf numFmtId="0" fontId="0" fillId="0" borderId="28" xfId="0" applyBorder="1" applyProtection="1"/>
    <xf numFmtId="0" fontId="7" fillId="7" borderId="27" xfId="0" applyFont="1" applyFill="1" applyBorder="1" applyAlignment="1" applyProtection="1">
      <alignment horizontal="center"/>
    </xf>
    <xf numFmtId="0" fontId="7" fillId="7" borderId="30" xfId="0" applyFont="1" applyFill="1" applyBorder="1" applyAlignment="1" applyProtection="1">
      <alignment horizontal="center"/>
    </xf>
    <xf numFmtId="0" fontId="3" fillId="10" borderId="25" xfId="0" applyFont="1" applyFill="1" applyBorder="1" applyAlignment="1" applyProtection="1">
      <alignment horizontal="center"/>
    </xf>
    <xf numFmtId="0" fontId="8" fillId="10" borderId="24" xfId="0" applyNumberFormat="1" applyFont="1" applyFill="1" applyBorder="1" applyAlignment="1" applyProtection="1">
      <alignment horizontal="center"/>
    </xf>
    <xf numFmtId="0" fontId="0" fillId="0" borderId="28" xfId="0" applyBorder="1" applyAlignment="1" applyProtection="1"/>
    <xf numFmtId="0" fontId="9" fillId="2" borderId="0" xfId="0" applyFont="1" applyFill="1" applyBorder="1" applyAlignment="1" applyProtection="1">
      <alignment horizontal="center"/>
    </xf>
    <xf numFmtId="0" fontId="0" fillId="9" borderId="23" xfId="0" applyFill="1" applyBorder="1" applyProtection="1"/>
    <xf numFmtId="0" fontId="0" fillId="0" borderId="35" xfId="0" applyBorder="1" applyProtection="1"/>
    <xf numFmtId="0" fontId="8" fillId="10" borderId="36" xfId="0" applyNumberFormat="1" applyFont="1" applyFill="1" applyBorder="1" applyAlignment="1" applyProtection="1">
      <alignment horizontal="center"/>
    </xf>
    <xf numFmtId="0" fontId="0" fillId="14" borderId="23" xfId="0" applyFill="1" applyBorder="1" applyAlignment="1" applyProtection="1">
      <alignment horizontal="center"/>
    </xf>
    <xf numFmtId="0" fontId="3" fillId="14" borderId="14" xfId="0" applyFont="1" applyFill="1" applyBorder="1" applyProtection="1"/>
    <xf numFmtId="0" fontId="0" fillId="14" borderId="14" xfId="0" applyFill="1" applyBorder="1" applyProtection="1"/>
    <xf numFmtId="0" fontId="0" fillId="14" borderId="16" xfId="0" applyFill="1" applyBorder="1" applyProtection="1"/>
    <xf numFmtId="0" fontId="0" fillId="14" borderId="22" xfId="0" applyFill="1" applyBorder="1" applyAlignment="1" applyProtection="1">
      <alignment horizontal="center"/>
    </xf>
    <xf numFmtId="0" fontId="3" fillId="14" borderId="15" xfId="0" applyFont="1" applyFill="1" applyBorder="1" applyProtection="1"/>
    <xf numFmtId="0" fontId="0" fillId="14" borderId="15" xfId="0" applyFill="1" applyBorder="1" applyProtection="1"/>
    <xf numFmtId="0" fontId="0" fillId="15" borderId="19" xfId="0" applyFill="1" applyBorder="1" applyAlignment="1" applyProtection="1">
      <alignment horizontal="center"/>
    </xf>
    <xf numFmtId="0" fontId="2" fillId="15" borderId="6" xfId="0" applyFont="1" applyFill="1" applyBorder="1" applyProtection="1"/>
    <xf numFmtId="0" fontId="2" fillId="15" borderId="6" xfId="0" applyFont="1" applyFill="1" applyBorder="1" applyAlignment="1" applyProtection="1">
      <alignment horizontal="center"/>
    </xf>
    <xf numFmtId="0" fontId="0" fillId="15" borderId="6" xfId="0" applyFill="1" applyBorder="1" applyAlignment="1" applyProtection="1">
      <alignment horizontal="center"/>
    </xf>
    <xf numFmtId="0" fontId="3" fillId="16" borderId="23" xfId="0" applyFont="1" applyFill="1" applyBorder="1" applyAlignment="1" applyProtection="1">
      <alignment horizontal="center"/>
    </xf>
    <xf numFmtId="0" fontId="0" fillId="14" borderId="14" xfId="0" applyFill="1" applyBorder="1" applyAlignment="1" applyProtection="1">
      <alignment horizontal="center"/>
    </xf>
    <xf numFmtId="0" fontId="0" fillId="14" borderId="15" xfId="0" applyFill="1" applyBorder="1" applyAlignment="1" applyProtection="1">
      <alignment horizontal="center"/>
    </xf>
    <xf numFmtId="0" fontId="3" fillId="14" borderId="0" xfId="0" applyFont="1" applyFill="1" applyBorder="1" applyAlignment="1" applyProtection="1">
      <alignment horizontal="center"/>
    </xf>
    <xf numFmtId="0" fontId="0" fillId="2" borderId="20" xfId="0" applyFill="1" applyBorder="1" applyAlignment="1" applyProtection="1">
      <alignment horizontal="center"/>
    </xf>
    <xf numFmtId="0" fontId="0" fillId="2" borderId="21" xfId="0" applyFill="1" applyBorder="1" applyAlignment="1" applyProtection="1">
      <alignment horizontal="center"/>
    </xf>
    <xf numFmtId="0" fontId="3" fillId="9" borderId="12" xfId="0" applyFont="1" applyFill="1" applyBorder="1" applyAlignment="1" applyProtection="1">
      <alignment horizontal="center"/>
    </xf>
    <xf numFmtId="0" fontId="3" fillId="9" borderId="0" xfId="0" applyFont="1" applyFill="1" applyBorder="1" applyAlignment="1" applyProtection="1">
      <alignment horizontal="center"/>
    </xf>
    <xf numFmtId="0" fontId="4" fillId="8" borderId="3" xfId="0" applyFont="1" applyFill="1" applyBorder="1" applyAlignment="1" applyProtection="1">
      <alignment horizontal="center"/>
    </xf>
    <xf numFmtId="0" fontId="3" fillId="15" borderId="6" xfId="0" applyFont="1" applyFill="1" applyBorder="1" applyAlignment="1" applyProtection="1">
      <alignment horizontal="center"/>
    </xf>
    <xf numFmtId="4" fontId="2" fillId="15" borderId="6" xfId="0" applyNumberFormat="1" applyFont="1" applyFill="1" applyBorder="1" applyAlignment="1" applyProtection="1"/>
    <xf numFmtId="43" fontId="2" fillId="15" borderId="6" xfId="0" applyNumberFormat="1" applyFont="1" applyFill="1" applyBorder="1" applyAlignment="1" applyProtection="1">
      <alignment horizontal="center"/>
    </xf>
    <xf numFmtId="0" fontId="0" fillId="7" borderId="31" xfId="0" applyFill="1" applyBorder="1" applyProtection="1"/>
    <xf numFmtId="187" fontId="3" fillId="7" borderId="13" xfId="0" applyNumberFormat="1" applyFont="1" applyFill="1" applyBorder="1" applyAlignment="1" applyProtection="1">
      <alignment horizontal="center"/>
    </xf>
    <xf numFmtId="0" fontId="13" fillId="7" borderId="17" xfId="0" applyFont="1" applyFill="1" applyBorder="1" applyProtection="1"/>
    <xf numFmtId="0" fontId="6" fillId="7" borderId="18" xfId="0" applyFont="1" applyFill="1" applyBorder="1" applyAlignment="1" applyProtection="1">
      <alignment horizontal="center"/>
    </xf>
    <xf numFmtId="0" fontId="6" fillId="7" borderId="18" xfId="0" applyFont="1" applyFill="1" applyBorder="1" applyAlignment="1" applyProtection="1">
      <alignment horizontal="left"/>
    </xf>
    <xf numFmtId="0" fontId="3" fillId="7" borderId="23" xfId="0" applyFont="1" applyFill="1" applyBorder="1" applyAlignment="1" applyProtection="1">
      <alignment horizontal="center"/>
    </xf>
    <xf numFmtId="0" fontId="15" fillId="7" borderId="23" xfId="0" applyFont="1" applyFill="1" applyBorder="1" applyAlignment="1" applyProtection="1">
      <alignment horizontal="center"/>
    </xf>
    <xf numFmtId="0" fontId="4" fillId="7" borderId="23" xfId="0" applyFont="1" applyFill="1" applyBorder="1" applyAlignment="1" applyProtection="1">
      <alignment horizontal="center" vertical="center"/>
    </xf>
    <xf numFmtId="0" fontId="12" fillId="7" borderId="23" xfId="0" applyFont="1" applyFill="1" applyBorder="1" applyAlignment="1" applyProtection="1">
      <alignment horizontal="center" vertical="center"/>
    </xf>
    <xf numFmtId="0" fontId="0" fillId="7" borderId="23" xfId="0" applyFill="1" applyBorder="1" applyProtection="1"/>
    <xf numFmtId="0" fontId="3" fillId="7" borderId="1" xfId="0" applyFont="1" applyFill="1" applyBorder="1" applyAlignment="1" applyProtection="1">
      <alignment horizontal="center"/>
    </xf>
    <xf numFmtId="0" fontId="4" fillId="7" borderId="1" xfId="0" applyFont="1" applyFill="1" applyBorder="1" applyAlignment="1" applyProtection="1">
      <alignment horizontal="center" vertical="center"/>
    </xf>
    <xf numFmtId="0" fontId="6" fillId="17" borderId="1" xfId="0" applyFont="1" applyFill="1" applyBorder="1" applyAlignment="1" applyProtection="1">
      <alignment horizontal="center"/>
    </xf>
    <xf numFmtId="0" fontId="3" fillId="17" borderId="6" xfId="0" applyFont="1" applyFill="1" applyBorder="1" applyAlignment="1" applyProtection="1">
      <alignment horizontal="center"/>
      <protection locked="0"/>
    </xf>
    <xf numFmtId="0" fontId="18" fillId="0" borderId="0" xfId="0" applyFont="1" applyProtection="1"/>
    <xf numFmtId="0" fontId="8" fillId="0" borderId="0" xfId="0" applyFont="1" applyProtection="1"/>
    <xf numFmtId="4" fontId="0" fillId="0" borderId="0" xfId="0" applyNumberFormat="1" applyProtection="1"/>
    <xf numFmtId="0" fontId="15" fillId="8" borderId="0" xfId="0" applyFont="1" applyFill="1" applyBorder="1" applyAlignment="1" applyProtection="1">
      <alignment horizontal="center"/>
    </xf>
    <xf numFmtId="0" fontId="0" fillId="9" borderId="31" xfId="0" applyFill="1" applyBorder="1" applyAlignment="1" applyProtection="1">
      <alignment horizontal="center"/>
    </xf>
    <xf numFmtId="0" fontId="6" fillId="17" borderId="23" xfId="0" applyFont="1" applyFill="1" applyBorder="1" applyAlignment="1" applyProtection="1">
      <alignment horizontal="center"/>
      <protection locked="0"/>
    </xf>
    <xf numFmtId="0" fontId="6" fillId="18" borderId="38" xfId="0" applyFont="1" applyFill="1" applyBorder="1" applyAlignment="1" applyProtection="1">
      <alignment horizontal="center"/>
    </xf>
    <xf numFmtId="0" fontId="3" fillId="7" borderId="39" xfId="0" applyFont="1" applyFill="1" applyBorder="1" applyAlignment="1" applyProtection="1">
      <alignment horizontal="center"/>
    </xf>
    <xf numFmtId="0" fontId="4" fillId="7" borderId="39" xfId="0" applyFont="1" applyFill="1" applyBorder="1" applyAlignment="1" applyProtection="1">
      <alignment horizontal="center" vertical="center"/>
    </xf>
    <xf numFmtId="0" fontId="4" fillId="7" borderId="40" xfId="0" applyFont="1" applyFill="1" applyBorder="1" applyAlignment="1" applyProtection="1">
      <alignment horizontal="center" vertical="center"/>
    </xf>
    <xf numFmtId="187" fontId="6" fillId="19" borderId="38" xfId="0" applyNumberFormat="1" applyFont="1" applyFill="1" applyBorder="1" applyAlignment="1" applyProtection="1">
      <alignment horizontal="center"/>
    </xf>
    <xf numFmtId="187" fontId="13" fillId="7" borderId="37" xfId="0" applyNumberFormat="1" applyFont="1" applyFill="1" applyBorder="1" applyProtection="1"/>
    <xf numFmtId="187" fontId="6" fillId="19" borderId="41" xfId="0" applyNumberFormat="1" applyFont="1" applyFill="1" applyBorder="1" applyAlignment="1" applyProtection="1">
      <alignment horizontal="center"/>
    </xf>
    <xf numFmtId="187" fontId="0" fillId="0" borderId="42" xfId="0" applyNumberFormat="1" applyBorder="1"/>
    <xf numFmtId="0" fontId="0" fillId="0" borderId="0" xfId="0" applyNumberFormat="1" applyBorder="1"/>
    <xf numFmtId="187" fontId="0" fillId="0" borderId="0" xfId="0" applyNumberFormat="1" applyBorder="1"/>
    <xf numFmtId="0" fontId="0" fillId="0" borderId="43" xfId="0" applyBorder="1"/>
    <xf numFmtId="187" fontId="0" fillId="0" borderId="44" xfId="0" applyNumberFormat="1" applyBorder="1"/>
    <xf numFmtId="0" fontId="0" fillId="0" borderId="44" xfId="0" applyBorder="1"/>
    <xf numFmtId="0" fontId="14" fillId="0" borderId="44" xfId="0" applyFont="1" applyBorder="1"/>
    <xf numFmtId="0" fontId="0" fillId="0" borderId="45" xfId="0" applyBorder="1"/>
    <xf numFmtId="187" fontId="19" fillId="0" borderId="44" xfId="0" applyNumberFormat="1" applyFont="1" applyBorder="1"/>
    <xf numFmtId="14" fontId="0" fillId="0" borderId="0" xfId="0" applyNumberFormat="1" applyProtection="1"/>
    <xf numFmtId="0" fontId="6" fillId="21" borderId="10" xfId="0" applyFont="1" applyFill="1" applyBorder="1" applyAlignment="1" applyProtection="1">
      <alignment horizontal="center"/>
      <protection locked="0"/>
    </xf>
    <xf numFmtId="0" fontId="3" fillId="21" borderId="29" xfId="0" applyFont="1" applyFill="1" applyBorder="1" applyAlignment="1" applyProtection="1"/>
    <xf numFmtId="0" fontId="13" fillId="21" borderId="32" xfId="0" applyFont="1" applyFill="1" applyBorder="1" applyProtection="1"/>
    <xf numFmtId="0" fontId="6" fillId="17" borderId="1" xfId="0" applyFont="1" applyFill="1" applyBorder="1" applyAlignment="1" applyProtection="1">
      <alignment horizontal="center"/>
      <protection locked="0"/>
    </xf>
    <xf numFmtId="0" fontId="13" fillId="22" borderId="37" xfId="0" applyFont="1" applyFill="1" applyBorder="1" applyProtection="1"/>
    <xf numFmtId="0" fontId="0" fillId="20" borderId="46" xfId="0" applyFill="1" applyBorder="1" applyProtection="1"/>
    <xf numFmtId="0" fontId="0" fillId="20" borderId="16" xfId="0" applyFill="1" applyBorder="1" applyProtection="1"/>
    <xf numFmtId="0" fontId="0" fillId="20" borderId="27" xfId="0" applyFill="1" applyBorder="1" applyProtection="1"/>
    <xf numFmtId="0" fontId="15" fillId="20" borderId="2" xfId="0" applyFont="1" applyFill="1" applyBorder="1" applyAlignment="1" applyProtection="1">
      <alignment horizontal="center"/>
    </xf>
    <xf numFmtId="0" fontId="3" fillId="20" borderId="4" xfId="0" applyFont="1" applyFill="1" applyBorder="1" applyAlignment="1" applyProtection="1">
      <alignment horizontal="center"/>
    </xf>
    <xf numFmtId="0" fontId="3" fillId="20" borderId="8" xfId="0" applyFont="1" applyFill="1" applyBorder="1" applyAlignment="1" applyProtection="1">
      <alignment horizontal="center"/>
    </xf>
    <xf numFmtId="0" fontId="13" fillId="20" borderId="4" xfId="0" applyFont="1" applyFill="1" applyBorder="1" applyProtection="1"/>
    <xf numFmtId="0" fontId="6" fillId="7" borderId="3" xfId="0" applyFont="1" applyFill="1" applyBorder="1" applyAlignment="1" applyProtection="1">
      <alignment horizontal="left"/>
    </xf>
    <xf numFmtId="0" fontId="3" fillId="16" borderId="6" xfId="0" applyFont="1" applyFill="1" applyBorder="1" applyAlignment="1" applyProtection="1">
      <alignment horizontal="center"/>
    </xf>
    <xf numFmtId="0" fontId="13" fillId="20" borderId="11" xfId="0" applyFont="1" applyFill="1" applyBorder="1" applyProtection="1"/>
    <xf numFmtId="0" fontId="3" fillId="20" borderId="0" xfId="0" applyFont="1" applyFill="1" applyBorder="1" applyAlignment="1" applyProtection="1">
      <alignment horizontal="center"/>
    </xf>
    <xf numFmtId="0" fontId="3" fillId="20" borderId="12" xfId="0" applyFont="1" applyFill="1" applyBorder="1" applyAlignment="1" applyProtection="1">
      <alignment horizontal="center"/>
    </xf>
    <xf numFmtId="0" fontId="0" fillId="7" borderId="38" xfId="0" applyFill="1" applyBorder="1" applyProtection="1"/>
    <xf numFmtId="0" fontId="0" fillId="7" borderId="47" xfId="0" applyFill="1" applyBorder="1" applyProtection="1"/>
    <xf numFmtId="0" fontId="3" fillId="7" borderId="48" xfId="0" applyFont="1" applyFill="1" applyBorder="1" applyAlignment="1" applyProtection="1">
      <alignment horizontal="center"/>
    </xf>
    <xf numFmtId="0" fontId="0" fillId="0" borderId="47" xfId="0" applyBorder="1" applyProtection="1"/>
    <xf numFmtId="0" fontId="16" fillId="2" borderId="47" xfId="0" applyFont="1" applyFill="1" applyBorder="1" applyAlignment="1" applyProtection="1">
      <alignment horizontal="center"/>
    </xf>
    <xf numFmtId="0" fontId="17" fillId="2" borderId="47" xfId="0" applyFont="1" applyFill="1" applyBorder="1" applyAlignment="1" applyProtection="1">
      <alignment horizontal="center"/>
    </xf>
    <xf numFmtId="187" fontId="3" fillId="2" borderId="40" xfId="0" applyNumberFormat="1" applyFont="1" applyFill="1" applyBorder="1" applyAlignment="1" applyProtection="1"/>
    <xf numFmtId="0" fontId="16" fillId="2" borderId="41" xfId="0" applyFont="1" applyFill="1" applyBorder="1" applyAlignment="1" applyProtection="1">
      <alignment horizontal="center"/>
    </xf>
    <xf numFmtId="0" fontId="17" fillId="2" borderId="49" xfId="0" applyFont="1" applyFill="1" applyBorder="1" applyAlignment="1" applyProtection="1">
      <alignment horizontal="center"/>
    </xf>
    <xf numFmtId="0" fontId="0" fillId="8" borderId="41" xfId="0" applyFill="1" applyBorder="1" applyAlignment="1" applyProtection="1">
      <alignment horizontal="center"/>
    </xf>
    <xf numFmtId="0" fontId="17" fillId="2" borderId="48" xfId="0" applyFont="1" applyFill="1" applyBorder="1" applyAlignment="1" applyProtection="1">
      <alignment horizontal="center"/>
    </xf>
    <xf numFmtId="0" fontId="0" fillId="7" borderId="33" xfId="0" applyFill="1" applyBorder="1" applyAlignment="1" applyProtection="1">
      <alignment horizontal="center"/>
    </xf>
    <xf numFmtId="0" fontId="0" fillId="7" borderId="34" xfId="0" applyFill="1" applyBorder="1" applyAlignment="1" applyProtection="1">
      <alignment horizontal="center"/>
    </xf>
    <xf numFmtId="0" fontId="3" fillId="9" borderId="42" xfId="0" applyFont="1" applyFill="1" applyBorder="1" applyAlignment="1" applyProtection="1">
      <alignment horizontal="center"/>
    </xf>
    <xf numFmtId="0" fontId="3" fillId="9" borderId="0" xfId="0" applyFont="1" applyFill="1" applyBorder="1" applyAlignment="1" applyProtection="1">
      <alignment horizontal="center"/>
    </xf>
    <xf numFmtId="0" fontId="2" fillId="14" borderId="42" xfId="0" applyFont="1" applyFill="1" applyBorder="1" applyAlignment="1" applyProtection="1">
      <alignment horizontal="center"/>
    </xf>
    <xf numFmtId="0" fontId="2" fillId="14" borderId="0" xfId="0" applyFont="1" applyFill="1" applyBorder="1" applyAlignment="1" applyProtection="1">
      <alignment horizontal="center"/>
    </xf>
    <xf numFmtId="0" fontId="3" fillId="2" borderId="10" xfId="0" applyFont="1" applyFill="1" applyBorder="1" applyAlignment="1" applyProtection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EA22A"/>
      <color rgb="FF04AC84"/>
      <color rgb="FFFF9966"/>
      <color rgb="FFCC3300"/>
      <color rgb="FFFAC192"/>
      <color rgb="FFA43428"/>
      <color rgb="FFFF6600"/>
      <color rgb="FF66FF33"/>
      <color rgb="FF95D6F3"/>
      <color rgb="FFFF99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4048"/>
  <ax:ocxPr ax:name="_ExtentY" ax:value="4763"/>
  <ax:ocxPr ax:name="_StockProps" ax:value="1"/>
  <ax:ocxPr ax:name="BackColor" ax:value="-2147483633"/>
  <ax:ocxPr ax:name="Year" ax:value="2016"/>
  <ax:ocxPr ax:name="Month" ax:value="1"/>
  <ax:ocxPr ax:name="Day" ax:value="4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RM_ex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เมนู"/>
      <sheetName val="FormRM_ex"/>
      <sheetName val="RM"/>
      <sheetName val="FG"/>
      <sheetName val="Out_Place"/>
      <sheetName val="RMพักไว้"/>
      <sheetName val="Template"/>
      <sheetName val="Stock_Start"/>
      <sheetName val="Stock_Out"/>
      <sheetName val="Stock_In"/>
      <sheetName val="Sheet4"/>
      <sheetName val="FormRM_Exไม่ใช้"/>
      <sheetName val="DataRM_ex"/>
      <sheetName val="FORM_FG"/>
      <sheetName val="DataRM_im"/>
      <sheetName val="Sheet3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1-01-DB-FL001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2">
          <cell r="E2" t="str">
            <v>BP-FL003</v>
          </cell>
          <cell r="M2">
            <v>275.11680000000001</v>
          </cell>
        </row>
        <row r="3">
          <cell r="E3" t="str">
            <v>BK-FL003</v>
          </cell>
          <cell r="M3">
            <v>35.862400000000001</v>
          </cell>
        </row>
        <row r="4">
          <cell r="E4" t="str">
            <v>BT-FL003</v>
          </cell>
          <cell r="M4">
            <v>62.019200000000005</v>
          </cell>
        </row>
        <row r="5">
          <cell r="E5" t="str">
            <v>BP-FL003</v>
          </cell>
          <cell r="M5">
            <v>179.82192000000001</v>
          </cell>
        </row>
        <row r="6">
          <cell r="E6" t="str">
            <v>BK-FL003</v>
          </cell>
          <cell r="M6">
            <v>-1.4400000000032165E-3</v>
          </cell>
        </row>
        <row r="7">
          <cell r="E7" t="str">
            <v>BT-FL003</v>
          </cell>
          <cell r="M7">
            <v>16.136480000000006</v>
          </cell>
        </row>
        <row r="8">
          <cell r="E8" t="str">
            <v>BP-FL003</v>
          </cell>
          <cell r="M8">
            <v>153.35112000000001</v>
          </cell>
        </row>
        <row r="9">
          <cell r="E9" t="str">
            <v>BK-FL003</v>
          </cell>
          <cell r="M9">
            <v>-10.785840000000004</v>
          </cell>
        </row>
        <row r="10">
          <cell r="E10" t="str">
            <v>BT-FL003</v>
          </cell>
          <cell r="M10">
            <v>3.3912800000000072</v>
          </cell>
        </row>
        <row r="11">
          <cell r="E11" t="str">
            <v>BP-FL003</v>
          </cell>
          <cell r="M11">
            <v>-58.944695999999993</v>
          </cell>
        </row>
        <row r="12">
          <cell r="E12" t="str">
            <v>BK-FL003</v>
          </cell>
          <cell r="M12">
            <v>-97.27672800000002</v>
          </cell>
        </row>
        <row r="13">
          <cell r="E13" t="str">
            <v>BT-FL003</v>
          </cell>
          <cell r="M13">
            <v>-98.825223999999992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>
    <tabColor rgb="FF00B050"/>
  </sheetPr>
  <dimension ref="B1:P19"/>
  <sheetViews>
    <sheetView workbookViewId="0">
      <selection activeCell="J18" sqref="J18"/>
    </sheetView>
  </sheetViews>
  <sheetFormatPr defaultColWidth="9" defaultRowHeight="14.25"/>
  <cols>
    <col min="1" max="1" width="0.375" style="11" customWidth="1"/>
    <col min="2" max="2" width="4.375" style="11" customWidth="1"/>
    <col min="3" max="3" width="12.125" style="11" customWidth="1"/>
    <col min="4" max="4" width="19.125" style="11" customWidth="1"/>
    <col min="5" max="5" width="9.125" style="11" customWidth="1"/>
    <col min="6" max="6" width="5.125" style="11" customWidth="1"/>
    <col min="7" max="7" width="7.375" style="11" customWidth="1"/>
    <col min="8" max="8" width="6.375" style="11" customWidth="1"/>
    <col min="9" max="9" width="7.5" style="11" customWidth="1"/>
    <col min="10" max="10" width="7" style="11" customWidth="1"/>
    <col min="11" max="11" width="7.75" style="11" bestFit="1" customWidth="1"/>
    <col min="12" max="12" width="6.25" style="11" customWidth="1"/>
    <col min="13" max="13" width="7.375" style="11" bestFit="1" customWidth="1"/>
    <col min="14" max="14" width="7.875" style="11" bestFit="1" customWidth="1"/>
    <col min="15" max="15" width="9.625" style="11" customWidth="1"/>
    <col min="16" max="16384" width="9" style="11"/>
  </cols>
  <sheetData>
    <row r="1" spans="2:16" ht="7.5" customHeight="1" thickBot="1"/>
    <row r="2" spans="2:16" ht="26.25">
      <c r="B2" s="45"/>
      <c r="C2" s="44" t="s">
        <v>72</v>
      </c>
      <c r="D2" s="95" t="s">
        <v>71</v>
      </c>
      <c r="E2" s="118"/>
      <c r="F2" s="119"/>
      <c r="G2" s="119"/>
      <c r="H2" s="120"/>
      <c r="I2" s="46">
        <f>IFERROR(MATCH(9.99999999999999E+307,J2:N2),"")</f>
        <v>5</v>
      </c>
      <c r="J2" s="64">
        <f>IFERROR(IF(J4&lt;&gt;"",1,""),"")</f>
        <v>1</v>
      </c>
      <c r="K2" s="64" t="str">
        <f>IFERROR(IF(K4&lt;&gt;"",2,""),"")</f>
        <v/>
      </c>
      <c r="L2" s="64" t="str">
        <f>IFERROR(IF(L4&lt;&gt;"",3,""),"")</f>
        <v/>
      </c>
      <c r="M2" s="64">
        <f>IFERROR(IF(M4&lt;&gt;"",4,""),"")</f>
        <v>4</v>
      </c>
      <c r="N2" s="64">
        <f>IFERROR(IF(N4&lt;&gt;"",5,""),"")</f>
        <v>5</v>
      </c>
      <c r="O2" s="42" t="s">
        <v>35</v>
      </c>
      <c r="P2" s="12"/>
    </row>
    <row r="3" spans="2:16" ht="21">
      <c r="B3" s="76" t="s">
        <v>67</v>
      </c>
      <c r="C3" s="77">
        <f ca="1">TODAY()</f>
        <v>42534</v>
      </c>
      <c r="D3" s="116" t="s">
        <v>39</v>
      </c>
      <c r="E3" s="121" t="s">
        <v>64</v>
      </c>
      <c r="F3" s="124"/>
      <c r="G3" s="122"/>
      <c r="H3" s="122" t="s">
        <v>61</v>
      </c>
      <c r="I3" s="123"/>
      <c r="J3" s="88" t="s">
        <v>86</v>
      </c>
      <c r="K3" s="88" t="s">
        <v>60</v>
      </c>
      <c r="L3" s="88" t="s">
        <v>87</v>
      </c>
      <c r="M3" s="88" t="s">
        <v>88</v>
      </c>
      <c r="N3" s="88" t="s">
        <v>89</v>
      </c>
      <c r="O3" s="39"/>
      <c r="P3" s="40"/>
    </row>
    <row r="4" spans="2:16" ht="21.75" thickBot="1">
      <c r="B4" s="115" t="s">
        <v>81</v>
      </c>
      <c r="C4" s="114"/>
      <c r="D4" s="113">
        <f>SUM($E$4*$D$7)</f>
        <v>7820</v>
      </c>
      <c r="E4" s="126">
        <f>SUM(J4:N4)</f>
        <v>230</v>
      </c>
      <c r="F4" s="127"/>
      <c r="G4" s="128"/>
      <c r="H4" s="128" t="s">
        <v>62</v>
      </c>
      <c r="I4" s="129"/>
      <c r="J4" s="147">
        <v>100</v>
      </c>
      <c r="K4" s="147"/>
      <c r="L4" s="147"/>
      <c r="M4" s="147">
        <v>50</v>
      </c>
      <c r="N4" s="147">
        <v>80</v>
      </c>
      <c r="O4" s="35"/>
      <c r="P4" s="41"/>
    </row>
    <row r="5" spans="2:16" ht="24" thickBot="1">
      <c r="B5" s="78" t="s">
        <v>28</v>
      </c>
      <c r="C5" s="79" t="s">
        <v>0</v>
      </c>
      <c r="D5" s="80" t="s">
        <v>85</v>
      </c>
      <c r="E5" s="125" t="s">
        <v>69</v>
      </c>
      <c r="F5" s="47">
        <f>IFERROR(MATCH(9.99999999999999E+307,F6:F10),"")</f>
        <v>4</v>
      </c>
      <c r="G5" s="130"/>
      <c r="H5" s="131"/>
      <c r="I5" s="132" t="s">
        <v>40</v>
      </c>
      <c r="J5" s="133">
        <v>9</v>
      </c>
      <c r="K5" s="97" t="s">
        <v>37</v>
      </c>
      <c r="L5" s="136">
        <v>42373</v>
      </c>
      <c r="M5" s="137" t="s">
        <v>68</v>
      </c>
      <c r="N5" s="138">
        <v>5900004</v>
      </c>
      <c r="P5" s="40"/>
    </row>
    <row r="6" spans="2:16" ht="23.25">
      <c r="B6" s="38">
        <f>IF(E6&lt;&gt;"",1,"")</f>
        <v>1</v>
      </c>
      <c r="C6" s="37" t="str">
        <f>IF($D$6="","",INDEX(รหัสสินค้า_FG,MATCH($D$6,รายละเอียดสินค้า_FG,0)))</f>
        <v>1-01-DB-FL002</v>
      </c>
      <c r="D6" s="89" t="s">
        <v>84</v>
      </c>
      <c r="E6" s="72">
        <v>150</v>
      </c>
      <c r="F6" s="53">
        <f>IF(L6&lt;&gt;"",1,"")</f>
        <v>1</v>
      </c>
      <c r="G6" s="54" t="str">
        <f>IF($I6="","",INDEX(รหัสสินค้า.B,MATCH($I6,รายละเอียดสินค้า_FG,0)))</f>
        <v>1-01-DB-FL002</v>
      </c>
      <c r="H6" s="54"/>
      <c r="I6" s="54" t="str">
        <f t="array" ref="I6">IF(ISERROR(INDEX(FG!$E$2:$E$6,SMALL(IF(รหัสสินค้า_FG=$C$6,ROW(รหัสสินค้า_FG)-ROW(FG!$B$2)+1),ROWS(I$6:$I6)))),"",INDEX(FG!$E$2:$E$6,SMALL(IF(รหัสสินค้า_FG=$C$6,ROW(รหัสสินค้า_FG)-ROW(FG!$B$2)+1),ROWS(I$6:$I6))))</f>
        <v>b2</v>
      </c>
      <c r="J6" s="55"/>
      <c r="K6" s="56"/>
      <c r="L6" s="68">
        <v>2</v>
      </c>
      <c r="M6" s="56">
        <f>IFERROR(INDEX(INDEX(FG!$G$2:$W$6,0,MATCH(Form!$N6,FG!$G$1:$W$1,0)),MATCH(Form!$G6,รหัสสินค้า.B,0)),"")</f>
        <v>2000</v>
      </c>
      <c r="N6" s="56" t="s">
        <v>12</v>
      </c>
      <c r="O6" s="65">
        <f>IFERROR(SUM($L6*$M6),"")</f>
        <v>4000</v>
      </c>
      <c r="P6" s="40"/>
    </row>
    <row r="7" spans="2:16" ht="21">
      <c r="B7" s="94"/>
      <c r="C7" s="70" t="s">
        <v>70</v>
      </c>
      <c r="D7" s="71">
        <f>IF($C6="","",VLOOKUP($C6,FG!$B$1:$X$3,20,FALSE))</f>
        <v>34</v>
      </c>
      <c r="E7" s="71" t="s">
        <v>4</v>
      </c>
      <c r="F7" s="57">
        <f>IF(L7&lt;&gt;"",2,"")</f>
        <v>2</v>
      </c>
      <c r="G7" s="58" t="str">
        <f>IF($I7="","",INDEX(รหัสสินค้า.B,MATCH($I7,รายละเอียดสินค้า_FG,0)))</f>
        <v>1-01-DB-FL002</v>
      </c>
      <c r="H7" s="58"/>
      <c r="I7" s="58" t="str">
        <f t="array" ref="I7">IF(ISERROR(INDEX(FG!$E$2:$E$6,SMALL(IF(รหัสสินค้า_FG=$C$6,ROW(รหัสสินค้า_FG)-ROW(FG!$B$2)+1),ROWS(I$6:$I6)))),"",INDEX(FG!$E$2:$E$6,SMALL(IF(รหัสสินค้า_FG=$C$6,ROW(รหัสสินค้า_FG)-ROW(FG!$B$2)+1),ROWS(I$6:$I6))))</f>
        <v>b2</v>
      </c>
      <c r="J7" s="59"/>
      <c r="K7" s="59"/>
      <c r="L7" s="69">
        <v>5</v>
      </c>
      <c r="M7" s="59">
        <f>IFERROR(INDEX(INDEX(FG!$G$2:$W$6,0,MATCH(Form!$N7,FG!$G$1:$W$1,0)),MATCH(Form!$G7,รหัสสินค้า.B,0)),"")</f>
        <v>100</v>
      </c>
      <c r="N7" s="59" t="s">
        <v>13</v>
      </c>
      <c r="O7" s="66">
        <f>IFERROR(SUM($L7*$M7),"")</f>
        <v>500</v>
      </c>
      <c r="P7" s="40"/>
    </row>
    <row r="8" spans="2:16" ht="21">
      <c r="B8" s="143" t="s">
        <v>65</v>
      </c>
      <c r="C8" s="144"/>
      <c r="D8" s="71">
        <f>SUM($E$6*$D$7)</f>
        <v>5100</v>
      </c>
      <c r="E8" s="71" t="s">
        <v>4</v>
      </c>
      <c r="F8" s="57" t="str">
        <f>IF(L8&lt;&gt;"",3,"")</f>
        <v/>
      </c>
      <c r="G8" s="58" t="str">
        <f>IF($I8="","",INDEX(รหัสสินค้า.B,MATCH($I8,รายละเอียดสินค้า_FG,0)))</f>
        <v/>
      </c>
      <c r="H8" s="58"/>
      <c r="I8" s="58" t="str">
        <f t="array" ref="I8">IF(ISERROR(INDEX(FG!$E$2:$E$6,SMALL(IF(รหัสสินค้า_FG=$C$6,ROW(รหัสสินค้า_FG)-ROW(FG!$B$2)+1),ROWS(I$6:$I7)))),"",INDEX(FG!$E$2:$E$6,SMALL(IF(รหัสสินค้า_FG=$C$6,ROW(รหัสสินค้า_FG)-ROW(FG!$B$2)+1),ROWS(I$6:$I7))))</f>
        <v/>
      </c>
      <c r="J8" s="59"/>
      <c r="K8" s="59"/>
      <c r="L8" s="69"/>
      <c r="M8" s="59" t="str">
        <f>IFERROR(INDEX(INDEX(FG!$G$2:$W$6,0,MATCH(Form!$N8,FG!$G$1:$W$1,0)),MATCH(Form!$G8,รหัสสินค้า.B,0)),"")</f>
        <v/>
      </c>
      <c r="N8" s="59" t="s">
        <v>13</v>
      </c>
      <c r="O8" s="66" t="str">
        <f>IFERROR(SUM($L8*$M8),"")</f>
        <v/>
      </c>
      <c r="P8" s="40"/>
    </row>
    <row r="9" spans="2:16" ht="21.75" customHeight="1" thickBot="1">
      <c r="B9" s="145" t="s">
        <v>66</v>
      </c>
      <c r="C9" s="146"/>
      <c r="D9" s="67">
        <f>SUM(O6:O10)</f>
        <v>5050</v>
      </c>
      <c r="E9" s="67" t="s">
        <v>4</v>
      </c>
      <c r="F9" s="57">
        <f>IF(L9&lt;&gt;"",4,"")</f>
        <v>4</v>
      </c>
      <c r="G9" s="58">
        <v>555555555</v>
      </c>
      <c r="H9" s="58"/>
      <c r="I9" s="58" t="s">
        <v>90</v>
      </c>
      <c r="J9" s="59"/>
      <c r="K9" s="59"/>
      <c r="L9" s="69">
        <v>10</v>
      </c>
      <c r="M9" s="59">
        <v>55</v>
      </c>
      <c r="N9" s="59" t="s">
        <v>13</v>
      </c>
      <c r="O9" s="66">
        <f>IFERROR(SUM($L9*$M9),"")</f>
        <v>550</v>
      </c>
      <c r="P9" s="40"/>
    </row>
    <row r="10" spans="2:16" ht="24" thickBot="1">
      <c r="B10" s="139"/>
      <c r="C10" s="134"/>
      <c r="D10" s="135"/>
      <c r="E10" s="140"/>
      <c r="F10" s="57" t="str">
        <f>IF(L10&lt;&gt;"",5,"")</f>
        <v/>
      </c>
      <c r="G10" s="58" t="str">
        <f t="shared" ref="G10" si="0">IF($I10="","",INDEX(รหัสสินค้า.B,MATCH($I10,รายละเอียดสินค้า_FG,0)))</f>
        <v/>
      </c>
      <c r="H10" s="58"/>
      <c r="I10" s="58" t="str">
        <f t="array" ref="I10">IF(ISERROR(INDEX(FG!$E$2:$E$6,SMALL(IF(รหัสสินค้า_FG=$C$6,ROW(รหัสสินค้า_FG)-ROW(FG!$B$2)+1),ROWS(I$6:$I9)))),"",INDEX(FG!$E$2:$E$6,SMALL(IF(รหัสสินค้า_FG=$C$6,ROW(รหัสสินค้า_FG)-ROW(FG!$B$2)+1),ROWS(I$6:$I9))))</f>
        <v/>
      </c>
      <c r="J10" s="59"/>
      <c r="K10" s="59"/>
      <c r="L10" s="69"/>
      <c r="M10" s="59" t="str">
        <f>IFERROR(INDEX(INDEX(FG!$G$2:$W$6,0,MATCH(Form!$N10,FG!$G$1:$W$1,0)),MATCH(Form!$G10,รหัสสินค้า.B,0)),"")</f>
        <v/>
      </c>
      <c r="N10" s="59"/>
      <c r="O10" s="66" t="str">
        <f t="shared" ref="O10" si="1">IFERROR(SUM($L10*$M10),"")</f>
        <v/>
      </c>
      <c r="P10" s="40"/>
    </row>
    <row r="11" spans="2:16" ht="21.75" thickBot="1">
      <c r="B11" s="78" t="s">
        <v>28</v>
      </c>
      <c r="C11" s="81"/>
      <c r="D11" s="81" t="s">
        <v>6</v>
      </c>
      <c r="E11" s="82" t="s">
        <v>3</v>
      </c>
      <c r="F11" s="83" t="s">
        <v>36</v>
      </c>
      <c r="G11" s="83" t="s">
        <v>33</v>
      </c>
      <c r="H11" s="84" t="str">
        <f>"ปริมาณ"&amp;IF($D13="","",VLOOKUP($D13,RM!$D:$AA,23,FALSE))</f>
        <v>ปริมาณกิโล</v>
      </c>
      <c r="I11" s="83" t="s">
        <v>36</v>
      </c>
      <c r="J11" s="83"/>
      <c r="K11" s="141"/>
      <c r="L11" s="142"/>
      <c r="M11" s="85"/>
      <c r="N11" s="50"/>
      <c r="O11" s="51"/>
      <c r="P11" s="48"/>
    </row>
    <row r="12" spans="2:16" ht="21.75" thickBot="1">
      <c r="B12" s="52">
        <f>IFERROR(MATCH(9.99999999999999E+307,B13:B16),"")</f>
        <v>4</v>
      </c>
      <c r="C12" s="86" t="s">
        <v>11</v>
      </c>
      <c r="D12" s="86" t="s">
        <v>10</v>
      </c>
      <c r="E12" s="87" t="s">
        <v>30</v>
      </c>
      <c r="F12" s="87" t="s">
        <v>32</v>
      </c>
      <c r="G12" s="87" t="s">
        <v>34</v>
      </c>
      <c r="H12" s="87" t="s">
        <v>26</v>
      </c>
      <c r="I12" s="87" t="s">
        <v>32</v>
      </c>
      <c r="J12" s="83"/>
      <c r="K12" s="141"/>
      <c r="L12" s="142"/>
      <c r="M12" s="85"/>
      <c r="N12" s="50"/>
      <c r="O12" s="51"/>
      <c r="P12" s="48"/>
    </row>
    <row r="13" spans="2:16" ht="24" thickBot="1">
      <c r="B13" s="60">
        <f>IF(E13&lt;&gt;"",1,"")</f>
        <v>1</v>
      </c>
      <c r="C13" s="61" t="str">
        <f t="array" ref="C13">IF(ISERROR(INDEX(RM!C$2:C$6,SMALL(IF(RM!$B$2:$B$6=$C$6,ROW(RM!$B$2:$B$6)-ROW(RM!$B$2)+1),ROWS(C$13:$D13)))),"",INDEX(RM!C$2:C$6,SMALL(IF(RM!$B$2:$B$6=$C$6,ROW(RM!$B$2:$B$6)-ROW(RM!$B$2)+1),ROWS(C$13:$D13))))</f>
        <v>BP-FL002</v>
      </c>
      <c r="D13" s="61" t="str">
        <f t="array" ref="D13">IF(ISERROR(INDEX(RM!D$2:D$6,SMALL(IF(RM!$B$2:$B$6=$C$6,ROW(RM!$B$2:$B$6)-ROW(RM!$B$2)+1),ROWS(D$13:$D13)))),"",INDEX(RM!D$2:D$6,SMALL(IF(RM!$B$2:$B$6=$C$6,ROW(RM!$B$2:$B$6)-ROW(RM!$B$2)+1),ROWS(D$13:$D13))))</f>
        <v>เปลือก 5/16  FL</v>
      </c>
      <c r="E13" s="62">
        <f t="array" ref="E13">IF(ISERROR(INDEX(RM!E$2:E$6,SMALL(IF(RM!$B$2:$B$6=$C$6,ROW(RM!$B$2:$B$6)-ROW(RM!$B$2)+1),ROWS($D$13:E13)))),"",INDEX(RM!E$2:E$6,SMALL(IF(RM!$B$2:$B$6=$C$6,ROW(RM!$B$2:$B$6)-ROW(RM!$B$2)+1),ROWS($D$13:E13))))</f>
        <v>2</v>
      </c>
      <c r="F13" s="63" t="str">
        <f>IF($D13="","",VLOOKUP($D13,RM!$D$1:$X$6,3,FALSE))</f>
        <v>อัน</v>
      </c>
      <c r="G13" s="73">
        <f>IF($D13="","",VLOOKUP($D13,RM!D1:X6,19,FALSE))</f>
        <v>14.28</v>
      </c>
      <c r="H13" s="74">
        <f>IF($D13="","",$G13*$D$8/1000)</f>
        <v>72.828000000000003</v>
      </c>
      <c r="I13" s="75" t="str">
        <f>IF($D13="","",VLOOKUP($D13,RM!$D:$AA,23,FALSE))</f>
        <v>กิโล</v>
      </c>
      <c r="J13" s="83"/>
      <c r="K13" s="141"/>
      <c r="L13" s="142"/>
      <c r="M13" s="85"/>
      <c r="N13" s="50"/>
      <c r="O13" s="51"/>
      <c r="P13" s="48"/>
    </row>
    <row r="14" spans="2:16" ht="24" thickBot="1">
      <c r="B14" s="60">
        <f>IF(E14&lt;&gt;"",2,"")</f>
        <v>2</v>
      </c>
      <c r="C14" s="61" t="str">
        <f t="array" ref="C14">IF(ISERROR(INDEX(RM!C$2:C$6,SMALL(IF(RM!$B$2:$B$6=$C$6,ROW(RM!$B$2:$B$6)-ROW(RM!$B$2)+1),ROWS(C$13:$D14)))),"",INDEX(RM!C$2:C$6,SMALL(IF(RM!$B$2:$B$6=$C$6,ROW(RM!$B$2:$B$6)-ROW(RM!$B$2)+1),ROWS(C$13:$D14))))</f>
        <v>BK-FL002</v>
      </c>
      <c r="D14" s="61" t="str">
        <f t="array" ref="D14">IF(ISERROR(INDEX(RM!D$2:D$6,SMALL(IF(RM!$B$2:$B$6=$C$6,ROW(RM!$B$2:$B$6)-ROW(RM!$B$2)+1),ROWS(D$13:$D14)))),"",INDEX(RM!D$2:D$6,SMALL(IF(RM!$B$2:$B$6=$C$6,ROW(RM!$B$2:$B$6)-ROW(RM!$B$2)+1),ROWS(D$13:$D14))))</f>
        <v>กว้าง 5/16  FL</v>
      </c>
      <c r="E14" s="62">
        <f t="array" ref="E14">IF(ISERROR(INDEX(RM!E$2:E$6,SMALL(IF(RM!$B$2:$B$6=$C$6,ROW(RM!$B$2:$B$6)-ROW(RM!$B$2)+1),ROWS($D$13:E14)))),"",INDEX(RM!E$2:E$6,SMALL(IF(RM!$B$2:$B$6=$C$6,ROW(RM!$B$2:$B$6)-ROW(RM!$B$2)+1),ROWS($D$13:E14))))</f>
        <v>1</v>
      </c>
      <c r="F14" s="63" t="str">
        <f>IF($D14="","",VLOOKUP($D14,RM!$D$1:$X$6,3,FALSE))</f>
        <v>อัน</v>
      </c>
      <c r="G14" s="73">
        <f>IF($D14="","",VLOOKUP($D14,RM!D2:X5,19,FALSE))</f>
        <v>6.95</v>
      </c>
      <c r="H14" s="74">
        <f t="shared" ref="H14:H15" si="2">IF($D14="","",$G14*$D$8/1000)</f>
        <v>35.445</v>
      </c>
      <c r="I14" s="75" t="str">
        <f>IF($D14="","",VLOOKUP($D14,RM!$D:$AA,23,FALSE))</f>
        <v>กิโล</v>
      </c>
      <c r="J14" s="83"/>
      <c r="K14" s="141"/>
      <c r="L14" s="142"/>
      <c r="M14" s="85"/>
      <c r="N14" s="50"/>
      <c r="O14" s="51"/>
      <c r="P14" s="48"/>
    </row>
    <row r="15" spans="2:16" ht="24" thickBot="1">
      <c r="B15" s="60">
        <f>IF(E15&lt;&gt;"",3,"")</f>
        <v>3</v>
      </c>
      <c r="C15" s="61" t="str">
        <f t="array" ref="C15">IF(ISERROR(INDEX(RM!C$2:C$6,SMALL(IF(RM!$B$2:$B$6=$C$6,ROW(RM!$B$2:$B$6)-ROW(RM!$B$2)+1),ROWS(C$13:$D15)))),"",INDEX(RM!C$2:C$6,SMALL(IF(RM!$B$2:$B$6=$C$6,ROW(RM!$B$2:$B$6)-ROW(RM!$B$2)+1),ROWS(C$13:$D15))))</f>
        <v>BT-FL002</v>
      </c>
      <c r="D15" s="61" t="str">
        <f t="array" ref="D15">IF(ISERROR(INDEX(RM!D$2:D$6,SMALL(IF(RM!$B$2:$B$6=$C$6,ROW(RM!$B$2:$B$6)-ROW(RM!$B$2)+1),ROWS(D$13:$D15)))),"",INDEX(RM!D$2:D$6,SMALL(IF(RM!$B$2:$B$6=$C$6,ROW(RM!$B$2:$B$6)-ROW(RM!$B$2)+1),ROWS(D$13:$D15))))</f>
        <v>ต๊าฟ 5/16  FL</v>
      </c>
      <c r="E15" s="62">
        <f t="array" ref="E15">IF(ISERROR(INDEX(RM!E$2:E$6,SMALL(IF(RM!$B$2:$B$6=$C$6,ROW(RM!$B$2:$B$6)-ROW(RM!$B$2)+1),ROWS($D$13:E15)))),"",INDEX(RM!E$2:E$6,SMALL(IF(RM!$B$2:$B$6=$C$6,ROW(RM!$B$2:$B$6)-ROW(RM!$B$2)+1),ROWS($D$13:E15))))</f>
        <v>1</v>
      </c>
      <c r="F15" s="63" t="str">
        <f>IF($D15="","",VLOOKUP($D15,RM!$D$1:$X$6,3,FALSE))</f>
        <v>อัน</v>
      </c>
      <c r="G15" s="73">
        <f>IF($D15="","",VLOOKUP($D15,RM!D3:X6,19,FALSE))</f>
        <v>8.1999999999999993</v>
      </c>
      <c r="H15" s="74">
        <f t="shared" si="2"/>
        <v>41.82</v>
      </c>
      <c r="I15" s="75" t="str">
        <f>IF($D15="","",VLOOKUP($D15,RM!$D:$AA,23,FALSE))</f>
        <v>กิโล</v>
      </c>
      <c r="J15" s="83"/>
      <c r="K15" s="141"/>
      <c r="L15" s="142"/>
      <c r="M15" s="85"/>
      <c r="N15" s="50"/>
      <c r="O15" s="51"/>
      <c r="P15" s="48"/>
    </row>
    <row r="16" spans="2:16" ht="23.25">
      <c r="B16" s="60">
        <f>IF(E16&lt;&gt;"",4,"")</f>
        <v>4</v>
      </c>
      <c r="C16" s="61" t="str">
        <f t="array" ref="C16">IF(ISERROR(INDEX(RM!C$2:C$6,SMALL(IF(RM!$B$2:$B$6=$C$6,ROW(RM!$B$2:$B$6)-ROW(RM!$B$2)+1),ROWS(C$13:$D16)))),"",INDEX(RM!C$2:C$6,SMALL(IF(RM!$B$2:$B$6=$C$6,ROW(RM!$B$2:$B$6)-ROW(RM!$B$2)+1),ROWS(C$13:$D16))))</f>
        <v>BS-FL002</v>
      </c>
      <c r="D16" s="61" t="str">
        <f t="array" ref="D16">IF(ISERROR(INDEX(RM!D$2:D$6,SMALL(IF(RM!$B$2:$B$6=$C$6,ROW(RM!$B$2:$B$6)-ROW(RM!$B$2)+1),ROWS(D$13:$D16)))),"",INDEX(RM!D$2:D$6,SMALL(IF(RM!$B$2:$B$6=$C$6,ROW(RM!$B$2:$B$6)-ROW(RM!$B$2)+1),ROWS(D$13:$D16))))</f>
        <v>สปริงแหวน # 0.7 มิล 5/16</v>
      </c>
      <c r="E16" s="62">
        <f t="array" ref="E16">IF(ISERROR(INDEX(RM!E$2:E$6,SMALL(IF(RM!$B$2:$B$6=$C$6,ROW(RM!$B$2:$B$6)-ROW(RM!$B$2)+1),ROWS($D$13:E16)))),"",INDEX(RM!E$2:E$6,SMALL(IF(RM!$B$2:$B$6=$C$6,ROW(RM!$B$2:$B$6)-ROW(RM!$B$2)+1),ROWS($D$13:E16))))</f>
        <v>1</v>
      </c>
      <c r="F16" s="63" t="str">
        <f>IF($D16="","",VLOOKUP($D16,RM!$D$1:$X$6,3,FALSE))</f>
        <v>อัน</v>
      </c>
      <c r="G16" s="73">
        <f>IF($D16="","",VLOOKUP($D16,RM!D4:X7,19,FALSE))</f>
        <v>1</v>
      </c>
      <c r="H16" s="74">
        <f>IF($D16="","",$G16*$D$7)</f>
        <v>34</v>
      </c>
      <c r="I16" s="75" t="str">
        <f>IF($D16="","",VLOOKUP($D16,RM!$D:$AA,24,FALSE))</f>
        <v>ตัว</v>
      </c>
      <c r="J16" s="83"/>
      <c r="K16" s="141"/>
      <c r="L16" s="142"/>
      <c r="M16" s="85"/>
      <c r="N16" s="50"/>
      <c r="O16" s="51"/>
      <c r="P16" s="43"/>
    </row>
    <row r="17" spans="8:12" ht="16.5">
      <c r="H17" s="93"/>
      <c r="I17" s="112"/>
      <c r="J17" s="90"/>
      <c r="L17" s="92"/>
    </row>
    <row r="18" spans="8:12" ht="18">
      <c r="H18" s="49"/>
    </row>
    <row r="19" spans="8:12">
      <c r="H19" s="91"/>
    </row>
  </sheetData>
  <sheetProtection selectLockedCells="1"/>
  <mergeCells count="8">
    <mergeCell ref="K15:L15"/>
    <mergeCell ref="K16:L16"/>
    <mergeCell ref="K11:L11"/>
    <mergeCell ref="B8:C8"/>
    <mergeCell ref="B9:C9"/>
    <mergeCell ref="K12:L12"/>
    <mergeCell ref="K13:L13"/>
    <mergeCell ref="K14:L14"/>
  </mergeCells>
  <dataValidations count="2">
    <dataValidation type="list" allowBlank="1" showInputMessage="1" showErrorMessage="1" sqref="J3:N3">
      <formula1>ประกอบ</formula1>
    </dataValidation>
    <dataValidation type="list" allowBlank="1" showInputMessage="1" showErrorMessage="1" sqref="D6">
      <formula1>รายละเอียดสินค้า_FG</formula1>
    </dataValidation>
  </dataValidations>
  <pageMargins left="0.7" right="0.7" top="0.75" bottom="0.75" header="0.3" footer="0.3"/>
  <pageSetup paperSize="9" orientation="portrait" r:id="rId1"/>
  <legacyDrawing r:id="rId2"/>
  <controls>
    <control shapeId="2068" r:id="rId3" name="Calenda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>
    <tabColor rgb="FF99CC00"/>
  </sheetPr>
  <dimension ref="A10:Q26"/>
  <sheetViews>
    <sheetView tabSelected="1" topLeftCell="A11" workbookViewId="0">
      <pane xSplit="14790" topLeftCell="N1"/>
      <selection activeCell="E35" sqref="E35"/>
      <selection pane="topRight" activeCell="N1" sqref="N1"/>
    </sheetView>
  </sheetViews>
  <sheetFormatPr defaultRowHeight="14.25"/>
  <cols>
    <col min="1" max="1" width="10.25" style="10" bestFit="1" customWidth="1"/>
    <col min="2" max="2" width="7.375" style="10" bestFit="1" customWidth="1"/>
    <col min="3" max="3" width="8.625" style="10" bestFit="1" customWidth="1"/>
    <col min="4" max="4" width="4.625" bestFit="1" customWidth="1"/>
    <col min="5" max="5" width="16.75" customWidth="1"/>
    <col min="6" max="6" width="23.75" bestFit="1" customWidth="1"/>
    <col min="7" max="7" width="22" bestFit="1" customWidth="1"/>
    <col min="8" max="8" width="7.5" customWidth="1"/>
    <col min="9" max="9" width="10.75" bestFit="1" customWidth="1"/>
    <col min="10" max="10" width="9.875" bestFit="1" customWidth="1"/>
    <col min="11" max="11" width="17.75" bestFit="1" customWidth="1"/>
    <col min="12" max="12" width="23.75" bestFit="1" customWidth="1"/>
    <col min="13" max="13" width="7.875" bestFit="1" customWidth="1"/>
    <col min="14" max="14" width="8.75" customWidth="1"/>
    <col min="15" max="15" width="11.25" customWidth="1"/>
    <col min="16" max="16" width="9.625" customWidth="1"/>
    <col min="17" max="17" width="7" bestFit="1" customWidth="1"/>
    <col min="18" max="18" width="8.25" bestFit="1" customWidth="1"/>
    <col min="19" max="19" width="17.75" bestFit="1" customWidth="1"/>
  </cols>
  <sheetData>
    <row r="10" spans="1:13" ht="15" thickBot="1"/>
    <row r="11" spans="1:13" ht="21.75" thickBot="1">
      <c r="A11" s="102" t="s">
        <v>31</v>
      </c>
      <c r="B11" s="100" t="s">
        <v>40</v>
      </c>
      <c r="C11" s="96" t="s">
        <v>74</v>
      </c>
      <c r="D11" s="117" t="s">
        <v>28</v>
      </c>
      <c r="E11" s="101" t="s">
        <v>41</v>
      </c>
      <c r="F11" s="96" t="s">
        <v>0</v>
      </c>
      <c r="G11" s="97" t="s">
        <v>85</v>
      </c>
      <c r="H11" s="99" t="s">
        <v>75</v>
      </c>
      <c r="I11" s="99" t="s">
        <v>76</v>
      </c>
      <c r="J11" s="99" t="s">
        <v>73</v>
      </c>
      <c r="K11" s="99" t="s">
        <v>38</v>
      </c>
      <c r="L11" s="99" t="s">
        <v>35</v>
      </c>
    </row>
    <row r="12" spans="1:13">
      <c r="A12" s="103">
        <f ca="1">Form!$C$3</f>
        <v>42534</v>
      </c>
      <c r="B12" s="104">
        <f>Form!$J$5</f>
        <v>9</v>
      </c>
      <c r="C12" s="105">
        <f>Form!$L$5</f>
        <v>42373</v>
      </c>
      <c r="D12" s="27">
        <f>Form!J$2</f>
        <v>1</v>
      </c>
      <c r="E12" s="27" t="str">
        <f>Form!J$3</f>
        <v>แต๋ว</v>
      </c>
      <c r="F12" s="27" t="str">
        <f>Form!$C$6</f>
        <v>1-01-DB-FL002</v>
      </c>
      <c r="G12" s="27" t="str">
        <f>Form!$D$6</f>
        <v>b2</v>
      </c>
      <c r="H12" s="27">
        <f>Form!J$4</f>
        <v>100</v>
      </c>
      <c r="I12" s="27">
        <f>Form!$E$4</f>
        <v>230</v>
      </c>
      <c r="J12" s="27" t="str">
        <f>Form!$D$3</f>
        <v>โรงงาน 97</v>
      </c>
      <c r="K12" s="27" t="str">
        <f>Form!$C$2</f>
        <v>รับเข้า</v>
      </c>
      <c r="L12" s="106">
        <f>Form!$O$4</f>
        <v>0</v>
      </c>
      <c r="M12" t="s">
        <v>82</v>
      </c>
    </row>
    <row r="13" spans="1:13">
      <c r="A13" s="103">
        <f ca="1">Form!$C$3</f>
        <v>42534</v>
      </c>
      <c r="B13" s="104">
        <f>Form!$J$5</f>
        <v>9</v>
      </c>
      <c r="C13" s="105">
        <f>Form!$L$5</f>
        <v>42373</v>
      </c>
      <c r="D13" s="27" t="str">
        <f>Form!K$2</f>
        <v/>
      </c>
      <c r="E13" s="27" t="str">
        <f>Form!K$3</f>
        <v>น้อย</v>
      </c>
      <c r="F13" s="27" t="str">
        <f>Form!$C$6</f>
        <v>1-01-DB-FL002</v>
      </c>
      <c r="G13" s="27" t="str">
        <f>Form!$D$6</f>
        <v>b2</v>
      </c>
      <c r="H13" s="27">
        <f>Form!K$4</f>
        <v>0</v>
      </c>
      <c r="I13" s="27">
        <f>Form!$E$4</f>
        <v>230</v>
      </c>
      <c r="J13" s="27" t="str">
        <f>Form!$D$3</f>
        <v>โรงงาน 97</v>
      </c>
      <c r="K13" s="27" t="str">
        <f>Form!$C$2</f>
        <v>รับเข้า</v>
      </c>
      <c r="L13" s="106">
        <f>Form!$O$4</f>
        <v>0</v>
      </c>
    </row>
    <row r="14" spans="1:13">
      <c r="A14" s="103">
        <f ca="1">Form!$C$3</f>
        <v>42534</v>
      </c>
      <c r="B14" s="104">
        <f>Form!$J$5</f>
        <v>9</v>
      </c>
      <c r="C14" s="105">
        <f>Form!$L$5</f>
        <v>42373</v>
      </c>
      <c r="D14" s="27" t="str">
        <f>Form!L$2</f>
        <v/>
      </c>
      <c r="E14" s="27" t="str">
        <f>Form!L$3</f>
        <v>แหม่ม</v>
      </c>
      <c r="F14" s="27" t="str">
        <f>Form!$C$6</f>
        <v>1-01-DB-FL002</v>
      </c>
      <c r="G14" s="27" t="str">
        <f>Form!$D$6</f>
        <v>b2</v>
      </c>
      <c r="H14" s="27">
        <f>Form!L$4</f>
        <v>0</v>
      </c>
      <c r="I14" s="27">
        <f>Form!$E$4</f>
        <v>230</v>
      </c>
      <c r="J14" s="27" t="str">
        <f>Form!$D$3</f>
        <v>โรงงาน 97</v>
      </c>
      <c r="K14" s="27" t="str">
        <f>Form!$C$2</f>
        <v>รับเข้า</v>
      </c>
      <c r="L14" s="106">
        <f>Form!$O$4</f>
        <v>0</v>
      </c>
    </row>
    <row r="15" spans="1:13">
      <c r="A15" s="103">
        <f ca="1">Form!$C$3</f>
        <v>42534</v>
      </c>
      <c r="B15" s="104">
        <f>Form!$J$5</f>
        <v>9</v>
      </c>
      <c r="C15" s="105">
        <f>Form!$L$5</f>
        <v>42373</v>
      </c>
      <c r="D15" s="27">
        <f>Form!M$2</f>
        <v>4</v>
      </c>
      <c r="E15" s="27" t="str">
        <f>Form!M$3</f>
        <v>เล็ก</v>
      </c>
      <c r="F15" s="27" t="str">
        <f>Form!$C$6</f>
        <v>1-01-DB-FL002</v>
      </c>
      <c r="G15" s="27" t="str">
        <f>Form!$D$6</f>
        <v>b2</v>
      </c>
      <c r="H15" s="27">
        <f>Form!M$4</f>
        <v>50</v>
      </c>
      <c r="I15" s="27">
        <f>Form!$E$4</f>
        <v>230</v>
      </c>
      <c r="J15" s="27" t="str">
        <f>Form!$D$3</f>
        <v>โรงงาน 97</v>
      </c>
      <c r="K15" s="27" t="str">
        <f>Form!$C$2</f>
        <v>รับเข้า</v>
      </c>
      <c r="L15" s="106">
        <f>Form!$O$4</f>
        <v>0</v>
      </c>
    </row>
    <row r="16" spans="1:13">
      <c r="A16" s="103">
        <f ca="1">Form!$C$3</f>
        <v>42534</v>
      </c>
      <c r="B16" s="104">
        <f>Form!$J$5</f>
        <v>9</v>
      </c>
      <c r="C16" s="105">
        <f>Form!$L$5</f>
        <v>42373</v>
      </c>
      <c r="D16" s="27">
        <f>Form!N$2</f>
        <v>5</v>
      </c>
      <c r="E16" s="27" t="str">
        <f>Form!N$3</f>
        <v>ยา</v>
      </c>
      <c r="F16" s="27" t="str">
        <f>Form!$C$6</f>
        <v>1-01-DB-FL002</v>
      </c>
      <c r="G16" s="27" t="str">
        <f>Form!$D$6</f>
        <v>b2</v>
      </c>
      <c r="H16" s="27">
        <f>Form!N$4</f>
        <v>80</v>
      </c>
      <c r="I16" s="27">
        <f>Form!$E$4</f>
        <v>230</v>
      </c>
      <c r="J16" s="27" t="str">
        <f>Form!$D$3</f>
        <v>โรงงาน 97</v>
      </c>
      <c r="K16" s="27" t="str">
        <f>Form!$C$2</f>
        <v>รับเข้า</v>
      </c>
      <c r="L16" s="106">
        <f>Form!$O$4</f>
        <v>0</v>
      </c>
    </row>
    <row r="17" spans="1:17" ht="15" thickBot="1">
      <c r="A17" s="111" t="s">
        <v>91</v>
      </c>
      <c r="B17" s="111"/>
      <c r="C17" s="107"/>
      <c r="D17" s="108"/>
      <c r="E17" s="109" t="s">
        <v>92</v>
      </c>
      <c r="F17" s="108"/>
      <c r="G17" s="108"/>
      <c r="H17" s="108"/>
      <c r="I17" s="108"/>
      <c r="J17" s="108"/>
      <c r="K17" s="108"/>
      <c r="L17" s="110"/>
    </row>
    <row r="19" spans="1:17">
      <c r="D19" s="10"/>
      <c r="E19" s="10"/>
    </row>
    <row r="20" spans="1:17" ht="15" thickBot="1">
      <c r="D20" s="10"/>
      <c r="E20" s="10"/>
    </row>
    <row r="21" spans="1:17" ht="21.75" thickBot="1">
      <c r="A21" s="102" t="s">
        <v>31</v>
      </c>
      <c r="B21" s="100" t="s">
        <v>40</v>
      </c>
      <c r="C21" s="96" t="s">
        <v>74</v>
      </c>
      <c r="D21" s="117" t="s">
        <v>28</v>
      </c>
      <c r="E21" s="96" t="s">
        <v>0</v>
      </c>
      <c r="F21" s="97" t="s">
        <v>85</v>
      </c>
      <c r="G21" s="99" t="s">
        <v>79</v>
      </c>
      <c r="H21" s="99" t="s">
        <v>78</v>
      </c>
      <c r="I21" s="99" t="s">
        <v>80</v>
      </c>
      <c r="J21" s="99" t="s">
        <v>68</v>
      </c>
      <c r="K21" s="96" t="s">
        <v>0</v>
      </c>
      <c r="L21" s="97" t="s">
        <v>42</v>
      </c>
      <c r="M21" s="98" t="s">
        <v>70</v>
      </c>
      <c r="N21" s="99" t="s">
        <v>75</v>
      </c>
      <c r="O21" s="99" t="s">
        <v>77</v>
      </c>
      <c r="P21" s="99" t="s">
        <v>38</v>
      </c>
      <c r="Q21" s="99" t="s">
        <v>35</v>
      </c>
    </row>
    <row r="22" spans="1:17">
      <c r="A22" s="103">
        <f ca="1">Form!$C$3</f>
        <v>42534</v>
      </c>
      <c r="B22" s="104">
        <f>Form!$J$5</f>
        <v>9</v>
      </c>
      <c r="C22" s="105">
        <f>Form!$L$5</f>
        <v>42373</v>
      </c>
      <c r="D22" s="27">
        <f>Form!$F6</f>
        <v>1</v>
      </c>
      <c r="E22" s="27" t="str">
        <f>Form!$G6</f>
        <v>1-01-DB-FL002</v>
      </c>
      <c r="F22" s="27" t="str">
        <f>Form!I6</f>
        <v>b2</v>
      </c>
      <c r="G22" s="27">
        <f>Form!L6</f>
        <v>2</v>
      </c>
      <c r="H22" s="27" t="str">
        <f>Form!N6</f>
        <v>ลัง</v>
      </c>
      <c r="I22" s="27">
        <f>Form!O6</f>
        <v>4000</v>
      </c>
      <c r="J22">
        <f>Form!$N$5</f>
        <v>5900004</v>
      </c>
      <c r="K22" s="27" t="str">
        <f>Form!C6</f>
        <v>1-01-DB-FL002</v>
      </c>
      <c r="L22" s="27" t="str">
        <f>Form!$D$6</f>
        <v>b2</v>
      </c>
      <c r="M22" s="27">
        <f>Form!D7</f>
        <v>34</v>
      </c>
      <c r="N22" s="27">
        <f>Form!E6</f>
        <v>150</v>
      </c>
      <c r="O22" s="27">
        <f>Form!D8</f>
        <v>5100</v>
      </c>
      <c r="P22" s="27" t="str">
        <f>Form!$C$2</f>
        <v>รับเข้า</v>
      </c>
      <c r="Q22" s="106">
        <f>Form!$O$4</f>
        <v>0</v>
      </c>
    </row>
    <row r="23" spans="1:17">
      <c r="A23" s="103">
        <f ca="1">Form!$C$3</f>
        <v>42534</v>
      </c>
      <c r="B23" s="104">
        <f>Form!$J$5</f>
        <v>9</v>
      </c>
      <c r="C23" s="105">
        <f>Form!$L$5</f>
        <v>42373</v>
      </c>
      <c r="D23" s="27">
        <f>Form!F7</f>
        <v>2</v>
      </c>
      <c r="E23" s="27" t="str">
        <f>Form!G7</f>
        <v>1-01-DB-FL002</v>
      </c>
      <c r="F23" s="27" t="str">
        <f>Form!I7</f>
        <v>b2</v>
      </c>
      <c r="G23" s="27">
        <f>Form!L7</f>
        <v>5</v>
      </c>
      <c r="H23" s="27" t="str">
        <f>Form!N7</f>
        <v>กล่อง</v>
      </c>
      <c r="I23" s="27">
        <f>Form!O7</f>
        <v>500</v>
      </c>
      <c r="J23">
        <f>Form!$N$5</f>
        <v>5900004</v>
      </c>
      <c r="P23" s="27" t="str">
        <f>Form!$C$2</f>
        <v>รับเข้า</v>
      </c>
      <c r="Q23" s="106">
        <f>Form!$O$4</f>
        <v>0</v>
      </c>
    </row>
    <row r="24" spans="1:17">
      <c r="A24" s="103">
        <f ca="1">Form!$C$3</f>
        <v>42534</v>
      </c>
      <c r="B24" s="104">
        <f>Form!$J$5</f>
        <v>9</v>
      </c>
      <c r="C24" s="105">
        <f>Form!$L$5</f>
        <v>42373</v>
      </c>
      <c r="D24" s="27" t="str">
        <f>Form!F8</f>
        <v/>
      </c>
      <c r="E24" s="27" t="str">
        <f>Form!G8</f>
        <v/>
      </c>
      <c r="F24" s="27" t="str">
        <f>Form!I8</f>
        <v/>
      </c>
      <c r="G24" s="27">
        <f>Form!L8</f>
        <v>0</v>
      </c>
      <c r="H24" s="27" t="str">
        <f>Form!N8</f>
        <v>กล่อง</v>
      </c>
      <c r="I24" s="27" t="str">
        <f>Form!O8</f>
        <v/>
      </c>
      <c r="J24">
        <f>Form!$N$5</f>
        <v>5900004</v>
      </c>
      <c r="P24" s="27" t="str">
        <f>Form!$C$2</f>
        <v>รับเข้า</v>
      </c>
      <c r="Q24" s="106">
        <f>Form!$O$4</f>
        <v>0</v>
      </c>
    </row>
    <row r="25" spans="1:17">
      <c r="A25" s="103">
        <f ca="1">Form!$C$3</f>
        <v>42534</v>
      </c>
      <c r="B25" s="104">
        <f>Form!$J$5</f>
        <v>9</v>
      </c>
      <c r="C25" s="105">
        <f>Form!$L$5</f>
        <v>42373</v>
      </c>
      <c r="D25" s="27">
        <f>Form!F9</f>
        <v>4</v>
      </c>
      <c r="E25" s="27">
        <f>Form!G9</f>
        <v>555555555</v>
      </c>
      <c r="F25" s="27" t="str">
        <f>Form!I9</f>
        <v>xx</v>
      </c>
      <c r="G25" s="27">
        <f>Form!L9</f>
        <v>10</v>
      </c>
      <c r="H25" s="27" t="str">
        <f>Form!N9</f>
        <v>กล่อง</v>
      </c>
      <c r="I25" s="27">
        <f>Form!O9</f>
        <v>550</v>
      </c>
      <c r="J25">
        <f>Form!$N$5</f>
        <v>5900004</v>
      </c>
      <c r="P25" s="27" t="str">
        <f>Form!$C$2</f>
        <v>รับเข้า</v>
      </c>
      <c r="Q25" s="106">
        <f>Form!$O$4</f>
        <v>0</v>
      </c>
    </row>
    <row r="26" spans="1:17" ht="15" thickBot="1">
      <c r="A26" s="111" t="s">
        <v>93</v>
      </c>
      <c r="B26" s="111"/>
      <c r="C26" s="107"/>
      <c r="D26" s="108"/>
      <c r="E26" s="109" t="s">
        <v>94</v>
      </c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1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B1:AD12"/>
  <sheetViews>
    <sheetView workbookViewId="0">
      <pane xSplit="5" ySplit="1" topLeftCell="T2" activePane="bottomRight" state="frozen"/>
      <selection activeCell="D15" sqref="D15"/>
      <selection pane="topRight" activeCell="D15" sqref="D15"/>
      <selection pane="bottomLeft" activeCell="D15" sqref="D15"/>
      <selection pane="bottomRight" activeCell="AC5" sqref="AC5"/>
    </sheetView>
  </sheetViews>
  <sheetFormatPr defaultRowHeight="14.25"/>
  <cols>
    <col min="1" max="1" width="1.375" customWidth="1"/>
    <col min="2" max="2" width="12.625" customWidth="1"/>
    <col min="3" max="3" width="8.375" bestFit="1" customWidth="1"/>
    <col min="4" max="4" width="17.375" bestFit="1" customWidth="1"/>
    <col min="5" max="5" width="7.375" bestFit="1" customWidth="1"/>
    <col min="6" max="6" width="3.625" bestFit="1" customWidth="1"/>
    <col min="7" max="7" width="3.875" bestFit="1" customWidth="1"/>
    <col min="8" max="8" width="4.375" bestFit="1" customWidth="1"/>
    <col min="9" max="9" width="2.875" bestFit="1" customWidth="1"/>
    <col min="10" max="10" width="3.625" bestFit="1" customWidth="1"/>
    <col min="11" max="11" width="2.75" bestFit="1" customWidth="1"/>
    <col min="12" max="13" width="3.875" bestFit="1" customWidth="1"/>
    <col min="14" max="14" width="3" bestFit="1" customWidth="1"/>
    <col min="15" max="15" width="2.375" bestFit="1" customWidth="1"/>
    <col min="16" max="16" width="3.875" bestFit="1" customWidth="1"/>
    <col min="17" max="17" width="3.375" bestFit="1" customWidth="1"/>
    <col min="18" max="18" width="2.875" bestFit="1" customWidth="1"/>
    <col min="19" max="19" width="2.75" bestFit="1" customWidth="1"/>
    <col min="20" max="20" width="3.875" bestFit="1" customWidth="1"/>
    <col min="21" max="21" width="5" bestFit="1" customWidth="1"/>
    <col min="22" max="22" width="6.625" customWidth="1"/>
    <col min="23" max="24" width="3.875" customWidth="1"/>
    <col min="25" max="25" width="7.375" customWidth="1"/>
    <col min="26" max="27" width="3.875" customWidth="1"/>
    <col min="28" max="28" width="7.875" bestFit="1" customWidth="1"/>
    <col min="29" max="29" width="9.125" style="34"/>
  </cols>
  <sheetData>
    <row r="1" spans="2:30" ht="30" customHeight="1">
      <c r="B1" s="15" t="s">
        <v>0</v>
      </c>
      <c r="C1" s="21" t="s">
        <v>1</v>
      </c>
      <c r="D1" s="21" t="s">
        <v>2</v>
      </c>
      <c r="E1" s="22" t="s">
        <v>5</v>
      </c>
      <c r="F1" s="5" t="s">
        <v>25</v>
      </c>
      <c r="G1" s="4" t="s">
        <v>52</v>
      </c>
      <c r="H1" s="4" t="s">
        <v>13</v>
      </c>
      <c r="I1" s="4" t="s">
        <v>14</v>
      </c>
      <c r="J1" s="4" t="s">
        <v>15</v>
      </c>
      <c r="K1" s="4" t="s">
        <v>16</v>
      </c>
      <c r="L1" s="4" t="s">
        <v>4</v>
      </c>
      <c r="M1" s="4" t="s">
        <v>17</v>
      </c>
      <c r="N1" s="4" t="s">
        <v>18</v>
      </c>
      <c r="O1" s="4" t="s">
        <v>8</v>
      </c>
      <c r="P1" s="4" t="s">
        <v>19</v>
      </c>
      <c r="Q1" s="4" t="s">
        <v>20</v>
      </c>
      <c r="R1" s="4" t="s">
        <v>21</v>
      </c>
      <c r="S1" s="4" t="s">
        <v>22</v>
      </c>
      <c r="T1" s="4" t="s">
        <v>7</v>
      </c>
      <c r="U1" s="4" t="s">
        <v>23</v>
      </c>
      <c r="V1" s="4" t="s">
        <v>29</v>
      </c>
      <c r="W1" s="4" t="s">
        <v>9</v>
      </c>
      <c r="X1" s="4" t="s">
        <v>24</v>
      </c>
      <c r="Y1" s="29" t="s">
        <v>53</v>
      </c>
      <c r="Z1" s="29" t="s">
        <v>54</v>
      </c>
      <c r="AA1" s="29" t="s">
        <v>55</v>
      </c>
      <c r="AB1" s="30" t="s">
        <v>56</v>
      </c>
      <c r="AC1" s="31" t="s">
        <v>57</v>
      </c>
      <c r="AD1" s="4" t="s">
        <v>23</v>
      </c>
    </row>
    <row r="2" spans="2:30">
      <c r="B2" s="15" t="s">
        <v>51</v>
      </c>
      <c r="C2" s="16" t="s">
        <v>43</v>
      </c>
      <c r="D2" s="16" t="s">
        <v>44</v>
      </c>
      <c r="E2" s="17">
        <v>2</v>
      </c>
      <c r="F2" s="20" t="s">
        <v>17</v>
      </c>
      <c r="G2" s="6">
        <v>6</v>
      </c>
      <c r="H2" s="6"/>
      <c r="I2" s="6"/>
      <c r="J2" s="6"/>
      <c r="K2" s="6"/>
      <c r="L2" s="6">
        <v>2</v>
      </c>
      <c r="M2" s="6">
        <v>1</v>
      </c>
      <c r="N2" s="6"/>
      <c r="O2" s="6"/>
      <c r="P2" s="6"/>
      <c r="Q2" s="6"/>
      <c r="R2" s="6"/>
      <c r="S2" s="6"/>
      <c r="T2" s="6"/>
      <c r="U2" s="6">
        <v>72</v>
      </c>
      <c r="V2" s="9">
        <v>14.28</v>
      </c>
      <c r="W2" s="6"/>
      <c r="X2" s="6"/>
      <c r="Y2" s="6" t="s">
        <v>29</v>
      </c>
      <c r="Z2" s="6" t="s">
        <v>23</v>
      </c>
      <c r="AA2" s="6" t="s">
        <v>4</v>
      </c>
      <c r="AB2" s="6"/>
      <c r="AC2" s="32">
        <f>LOOKUP(9.99999999999999E+307,CHOOSE({1,2},0,LOOKUP(2,1/([1]DataRM_im!$E$2:$E$1048576=$C2),[1]DataRM_im!$M$2:$M$1048576)))</f>
        <v>0</v>
      </c>
      <c r="AD2" s="19">
        <v>280</v>
      </c>
    </row>
    <row r="3" spans="2:30">
      <c r="B3" s="15" t="s">
        <v>51</v>
      </c>
      <c r="C3" s="16" t="s">
        <v>45</v>
      </c>
      <c r="D3" s="16" t="s">
        <v>46</v>
      </c>
      <c r="E3" s="17">
        <v>1</v>
      </c>
      <c r="F3" s="20" t="s">
        <v>17</v>
      </c>
      <c r="G3" s="6">
        <v>6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>
        <v>144</v>
      </c>
      <c r="V3" s="9">
        <v>6.95</v>
      </c>
      <c r="W3" s="6"/>
      <c r="X3" s="6"/>
      <c r="Y3" s="6" t="s">
        <v>29</v>
      </c>
      <c r="Z3" s="6" t="s">
        <v>23</v>
      </c>
      <c r="AA3" s="6" t="s">
        <v>4</v>
      </c>
      <c r="AB3" s="6"/>
      <c r="AC3" s="32">
        <f>LOOKUP(9.99999999999999E+307,CHOOSE({1,2},0,LOOKUP(2,1/([1]DataRM_im!$E$2:$E$1048576=$C3),[1]DataRM_im!$M$2:$M$1048576)))</f>
        <v>0</v>
      </c>
    </row>
    <row r="4" spans="2:30">
      <c r="B4" s="15" t="s">
        <v>51</v>
      </c>
      <c r="C4" s="16" t="s">
        <v>47</v>
      </c>
      <c r="D4" s="16" t="s">
        <v>48</v>
      </c>
      <c r="E4" s="17">
        <v>1</v>
      </c>
      <c r="F4" s="20" t="s">
        <v>17</v>
      </c>
      <c r="G4" s="6">
        <v>6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>
        <v>122</v>
      </c>
      <c r="V4" s="9">
        <v>8.1999999999999993</v>
      </c>
      <c r="W4" s="6"/>
      <c r="X4" s="6"/>
      <c r="Y4" s="6" t="s">
        <v>29</v>
      </c>
      <c r="Z4" s="6" t="s">
        <v>23</v>
      </c>
      <c r="AA4" s="6" t="s">
        <v>4</v>
      </c>
      <c r="AB4" s="6"/>
      <c r="AC4" s="32">
        <f>LOOKUP(9.99999999999999E+307,CHOOSE({1,2},0,LOOKUP(2,1/([1]DataRM_im!$E$2:$E$1048576=$C4),[1]DataRM_im!$M$2:$M$1048576)))</f>
        <v>0</v>
      </c>
    </row>
    <row r="5" spans="2:30">
      <c r="B5" s="15" t="s">
        <v>51</v>
      </c>
      <c r="C5" s="16" t="s">
        <v>58</v>
      </c>
      <c r="D5" s="16" t="s">
        <v>59</v>
      </c>
      <c r="E5" s="17">
        <v>1</v>
      </c>
      <c r="F5" s="20" t="s">
        <v>17</v>
      </c>
      <c r="G5" s="6"/>
      <c r="H5" s="6"/>
      <c r="I5" s="6"/>
      <c r="J5" s="6"/>
      <c r="K5" s="6"/>
      <c r="L5" s="6">
        <v>1</v>
      </c>
      <c r="M5" s="6">
        <v>1</v>
      </c>
      <c r="N5" s="6"/>
      <c r="O5" s="6"/>
      <c r="P5" s="6"/>
      <c r="Q5" s="6"/>
      <c r="R5" s="6"/>
      <c r="S5" s="6"/>
      <c r="T5" s="6"/>
      <c r="U5" s="6">
        <v>2945</v>
      </c>
      <c r="V5" s="6">
        <v>1</v>
      </c>
      <c r="W5" s="6"/>
      <c r="X5" s="6"/>
      <c r="Y5" s="6" t="s">
        <v>29</v>
      </c>
      <c r="Z5" s="6" t="s">
        <v>23</v>
      </c>
      <c r="AA5" s="6" t="s">
        <v>4</v>
      </c>
      <c r="AB5" s="6"/>
      <c r="AC5" s="32">
        <f>LOOKUP(9.99999999999999E+307,CHOOSE({1,2},0,LOOKUP(2,1/([1]DataRM_im!$E$2:$E$1048576=$C5),[1]DataRM_im!$M$2:$M$1048576)))</f>
        <v>0</v>
      </c>
    </row>
    <row r="6" spans="2:30">
      <c r="B6" s="15"/>
      <c r="C6" s="16"/>
      <c r="D6" s="16"/>
      <c r="E6" s="17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32">
        <f>LOOKUP(9.99999999999999E+307,CHOOSE({1,2},0,LOOKUP(2,1/([1]DataRM_im!$E$2:$E$1048576=$C6),[1]DataRM_im!$M$2:$M$1048576)))</f>
        <v>0</v>
      </c>
    </row>
    <row r="12" spans="2:30">
      <c r="V12" s="33"/>
    </row>
  </sheetData>
  <autoFilter ref="B1:E10">
    <filterColumn colId="0"/>
  </autoFilter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B1:AA6"/>
  <sheetViews>
    <sheetView workbookViewId="0">
      <pane xSplit="6" ySplit="1" topLeftCell="L2" activePane="bottomRight" state="frozen"/>
      <selection activeCell="D15" sqref="D15"/>
      <selection pane="topRight" activeCell="D15" sqref="D15"/>
      <selection pane="bottomLeft" activeCell="D15" sqref="D15"/>
      <selection pane="bottomRight" activeCell="X28" sqref="W28:X28"/>
    </sheetView>
  </sheetViews>
  <sheetFormatPr defaultRowHeight="14.25"/>
  <cols>
    <col min="1" max="1" width="1.375" customWidth="1"/>
    <col min="2" max="2" width="13.75" bestFit="1" customWidth="1"/>
    <col min="3" max="3" width="13.75" customWidth="1"/>
    <col min="4" max="4" width="14.125" bestFit="1" customWidth="1"/>
    <col min="5" max="5" width="24.25" bestFit="1" customWidth="1"/>
    <col min="6" max="6" width="3.625" bestFit="1" customWidth="1"/>
    <col min="7" max="7" width="4.875" bestFit="1" customWidth="1"/>
    <col min="8" max="8" width="4.375" bestFit="1" customWidth="1"/>
    <col min="9" max="9" width="4.875" bestFit="1" customWidth="1"/>
    <col min="10" max="10" width="4.375" bestFit="1" customWidth="1"/>
    <col min="11" max="11" width="2.875" bestFit="1" customWidth="1"/>
    <col min="12" max="12" width="3.625" bestFit="1" customWidth="1"/>
    <col min="13" max="14" width="2.75" bestFit="1" customWidth="1"/>
    <col min="15" max="16" width="3" bestFit="1" customWidth="1"/>
    <col min="17" max="17" width="2.375" bestFit="1" customWidth="1"/>
    <col min="18" max="18" width="3.875" bestFit="1" customWidth="1"/>
    <col min="19" max="19" width="3.375" bestFit="1" customWidth="1"/>
    <col min="20" max="20" width="2.875" bestFit="1" customWidth="1"/>
    <col min="21" max="21" width="6.375" bestFit="1" customWidth="1"/>
    <col min="22" max="22" width="4.875" customWidth="1"/>
    <col min="23" max="23" width="3.875" bestFit="1" customWidth="1"/>
    <col min="24" max="24" width="5.625" bestFit="1" customWidth="1"/>
    <col min="25" max="25" width="2" bestFit="1" customWidth="1"/>
    <col min="26" max="26" width="3.25" bestFit="1" customWidth="1"/>
    <col min="27" max="27" width="4.625" bestFit="1" customWidth="1"/>
    <col min="28" max="28" width="2" customWidth="1"/>
  </cols>
  <sheetData>
    <row r="1" spans="2:27" ht="30" customHeight="1" thickBot="1">
      <c r="B1" s="23" t="s">
        <v>0</v>
      </c>
      <c r="C1" s="23" t="s">
        <v>63</v>
      </c>
      <c r="D1" s="24" t="s">
        <v>1</v>
      </c>
      <c r="E1" s="24" t="s">
        <v>2</v>
      </c>
      <c r="F1" s="13" t="s">
        <v>25</v>
      </c>
      <c r="G1" s="14" t="s">
        <v>12</v>
      </c>
      <c r="H1" s="14" t="s">
        <v>13</v>
      </c>
      <c r="I1" s="14" t="s">
        <v>14</v>
      </c>
      <c r="J1" s="14" t="s">
        <v>15</v>
      </c>
      <c r="K1" s="14" t="s">
        <v>16</v>
      </c>
      <c r="L1" s="14" t="s">
        <v>4</v>
      </c>
      <c r="M1" s="14" t="s">
        <v>17</v>
      </c>
      <c r="N1" s="14" t="s">
        <v>18</v>
      </c>
      <c r="O1" s="14" t="s">
        <v>8</v>
      </c>
      <c r="P1" s="14" t="s">
        <v>19</v>
      </c>
      <c r="Q1" s="14" t="s">
        <v>20</v>
      </c>
      <c r="R1" s="14" t="s">
        <v>21</v>
      </c>
      <c r="S1" s="14" t="s">
        <v>22</v>
      </c>
      <c r="T1" s="14" t="s">
        <v>7</v>
      </c>
      <c r="U1" s="14" t="s">
        <v>23</v>
      </c>
      <c r="V1" s="14" t="s">
        <v>9</v>
      </c>
      <c r="W1" s="14" t="s">
        <v>24</v>
      </c>
    </row>
    <row r="2" spans="2:27" ht="15" thickTop="1">
      <c r="B2" s="7" t="s">
        <v>50</v>
      </c>
      <c r="C2" s="7" t="s">
        <v>50</v>
      </c>
      <c r="D2" s="3" t="s">
        <v>27</v>
      </c>
      <c r="E2" s="3" t="s">
        <v>83</v>
      </c>
      <c r="F2" s="6" t="s">
        <v>4</v>
      </c>
      <c r="G2" s="8">
        <v>3000</v>
      </c>
      <c r="H2" s="6">
        <v>100</v>
      </c>
      <c r="I2" s="6"/>
      <c r="J2" s="6"/>
      <c r="K2" s="6"/>
      <c r="L2" s="6">
        <v>1</v>
      </c>
      <c r="M2" s="6"/>
      <c r="N2" s="6"/>
      <c r="O2" s="6"/>
      <c r="P2" s="6"/>
      <c r="Q2" s="6"/>
      <c r="R2" s="6"/>
      <c r="S2" s="6"/>
      <c r="T2" s="6"/>
      <c r="U2" s="18">
        <v>66</v>
      </c>
      <c r="V2" s="6"/>
      <c r="W2" s="6"/>
      <c r="X2" s="9">
        <v>15</v>
      </c>
      <c r="Y2" s="6">
        <v>1</v>
      </c>
      <c r="Z2" s="6" t="s">
        <v>4</v>
      </c>
      <c r="AA2" s="6" t="s">
        <v>23</v>
      </c>
    </row>
    <row r="3" spans="2:27">
      <c r="B3" s="15" t="s">
        <v>51</v>
      </c>
      <c r="C3" s="15" t="s">
        <v>51</v>
      </c>
      <c r="D3" s="16" t="s">
        <v>49</v>
      </c>
      <c r="E3" s="16" t="s">
        <v>84</v>
      </c>
      <c r="F3" s="6" t="s">
        <v>4</v>
      </c>
      <c r="G3" s="20">
        <v>2000</v>
      </c>
      <c r="H3" s="6">
        <v>100</v>
      </c>
      <c r="I3" s="6"/>
      <c r="J3" s="6"/>
      <c r="K3" s="6"/>
      <c r="L3" s="6">
        <v>1</v>
      </c>
      <c r="M3" s="6"/>
      <c r="N3" s="6"/>
      <c r="O3" s="6"/>
      <c r="P3" s="6"/>
      <c r="Q3" s="6"/>
      <c r="R3" s="6"/>
      <c r="S3" s="6"/>
      <c r="T3" s="6"/>
      <c r="U3" s="18">
        <v>34</v>
      </c>
      <c r="V3" s="6"/>
      <c r="W3" s="6"/>
      <c r="X3" s="9">
        <v>29.44</v>
      </c>
      <c r="Y3" s="6">
        <v>1</v>
      </c>
      <c r="Z3" s="6" t="s">
        <v>4</v>
      </c>
      <c r="AA3" s="6" t="s">
        <v>23</v>
      </c>
    </row>
    <row r="4" spans="2:27">
      <c r="B4" s="25"/>
      <c r="C4" s="36"/>
      <c r="D4" s="26"/>
      <c r="E4" s="26"/>
      <c r="F4" s="2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9"/>
      <c r="V4" s="6"/>
      <c r="W4" s="6"/>
      <c r="X4" s="9"/>
      <c r="Y4" s="6"/>
      <c r="Z4" s="6"/>
      <c r="AA4" s="6"/>
    </row>
    <row r="5" spans="2:27">
      <c r="B5" s="28"/>
      <c r="C5" s="27"/>
      <c r="D5" s="27"/>
      <c r="E5" s="27"/>
      <c r="F5" s="27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9"/>
      <c r="V5" s="6"/>
      <c r="W5" s="6"/>
      <c r="X5" s="9"/>
      <c r="Y5" s="6"/>
      <c r="Z5" s="6"/>
      <c r="AA5" s="6"/>
    </row>
    <row r="6" spans="2:27">
      <c r="B6" s="1"/>
      <c r="C6" s="2"/>
      <c r="D6" s="2"/>
      <c r="E6" s="2"/>
      <c r="F6" s="2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9"/>
      <c r="V6" s="6"/>
      <c r="W6" s="6"/>
    </row>
  </sheetData>
  <autoFilter ref="B1:E3">
    <filterColumn colId="0"/>
    <filterColumn colId="1"/>
  </autoFilter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6</vt:i4>
      </vt:variant>
    </vt:vector>
  </HeadingPairs>
  <TitlesOfParts>
    <vt:vector size="10" baseType="lpstr">
      <vt:lpstr>Form</vt:lpstr>
      <vt:lpstr>Template</vt:lpstr>
      <vt:lpstr>RM</vt:lpstr>
      <vt:lpstr>FG</vt:lpstr>
      <vt:lpstr>ประกอบ</vt:lpstr>
      <vt:lpstr>รหัสวัตถุดิบ_RM</vt:lpstr>
      <vt:lpstr>รหัสสินค้า.B</vt:lpstr>
      <vt:lpstr>รหัสสินค้า_FG</vt:lpstr>
      <vt:lpstr>รายละเอียดวัตถุดิบ_RM</vt:lpstr>
      <vt:lpstr>รายละเอียดสินค้า_FG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2014-03-08T02:41:14Z</dcterms:created>
  <dcterms:modified xsi:type="dcterms:W3CDTF">2016-06-13T03:00:18Z</dcterms:modified>
</cp:coreProperties>
</file>